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1125" windowWidth="15480" windowHeight="7770" tabRatio="808" firstSheet="1" activeTab="9"/>
  </bookViews>
  <sheets>
    <sheet name="RateSummary" sheetId="1" r:id="rId1"/>
    <sheet name="Schedule-A" sheetId="6" r:id="rId2"/>
    <sheet name="Schedule-B" sheetId="11" r:id="rId3"/>
    <sheet name="Schedule-C" sheetId="2" r:id="rId4"/>
    <sheet name="Schedule-D" sheetId="3" r:id="rId5"/>
    <sheet name="Schedule-E" sheetId="7" r:id="rId6"/>
    <sheet name="Schedule-F" sheetId="8" r:id="rId7"/>
    <sheet name="Schedule-G" sheetId="5" r:id="rId8"/>
    <sheet name="Non-ExemptTcodes" sheetId="9" r:id="rId9"/>
    <sheet name="Schedule-H" sheetId="10" r:id="rId10"/>
  </sheets>
  <calcPr calcId="125725"/>
</workbook>
</file>

<file path=xl/calcChain.xml><?xml version="1.0" encoding="utf-8"?>
<calcChain xmlns="http://schemas.openxmlformats.org/spreadsheetml/2006/main">
  <c r="D10" i="7"/>
  <c r="C10"/>
  <c r="D4"/>
  <c r="D5"/>
  <c r="D6"/>
  <c r="D7"/>
  <c r="D8"/>
  <c r="D9"/>
  <c r="D11"/>
  <c r="D22" i="3"/>
  <c r="F20" i="11"/>
  <c r="G15"/>
  <c r="F15"/>
  <c r="H15" s="1"/>
  <c r="G7"/>
  <c r="F7"/>
  <c r="H7" s="1"/>
  <c r="G11"/>
  <c r="F11"/>
  <c r="H11" s="1"/>
  <c r="G13"/>
  <c r="F13"/>
  <c r="I13" s="1"/>
  <c r="G6"/>
  <c r="F6"/>
  <c r="I6" s="1"/>
  <c r="G5"/>
  <c r="F5"/>
  <c r="H5" s="1"/>
  <c r="G17"/>
  <c r="F17"/>
  <c r="I17" s="1"/>
  <c r="G4"/>
  <c r="F4"/>
  <c r="H4" s="1"/>
  <c r="G14"/>
  <c r="F14"/>
  <c r="H14" s="1"/>
  <c r="G9"/>
  <c r="F9"/>
  <c r="I9" s="1"/>
  <c r="G16"/>
  <c r="F16"/>
  <c r="H16" s="1"/>
  <c r="G10"/>
  <c r="F10"/>
  <c r="I10" s="1"/>
  <c r="C42" i="9"/>
  <c r="E13" i="8"/>
  <c r="E12"/>
  <c r="E11"/>
  <c r="E10"/>
  <c r="E9"/>
  <c r="E8"/>
  <c r="E7"/>
  <c r="E6"/>
  <c r="E5"/>
  <c r="E4"/>
  <c r="E3"/>
  <c r="E2"/>
  <c r="C8" i="7"/>
  <c r="C5"/>
  <c r="C7"/>
  <c r="C9"/>
  <c r="C11"/>
  <c r="C6"/>
  <c r="C4"/>
  <c r="C3"/>
  <c r="D3" s="1"/>
  <c r="L8" i="11" l="1"/>
  <c r="L12"/>
  <c r="I14"/>
  <c r="J14" s="1"/>
  <c r="K14" s="1"/>
  <c r="I4"/>
  <c r="J4" s="1"/>
  <c r="I15"/>
  <c r="J15" s="1"/>
  <c r="K15" s="1"/>
  <c r="L15"/>
  <c r="L18"/>
  <c r="I16"/>
  <c r="J16" s="1"/>
  <c r="I5"/>
  <c r="J5" s="1"/>
  <c r="K5" s="1"/>
  <c r="I11"/>
  <c r="J11" s="1"/>
  <c r="K11" s="1"/>
  <c r="I7"/>
  <c r="J7" s="1"/>
  <c r="K7" s="1"/>
  <c r="H10"/>
  <c r="J10" s="1"/>
  <c r="H9"/>
  <c r="J9" s="1"/>
  <c r="H17"/>
  <c r="J17" s="1"/>
  <c r="K17" s="1"/>
  <c r="H6"/>
  <c r="J6" s="1"/>
  <c r="K6" s="1"/>
  <c r="H13"/>
  <c r="J13" s="1"/>
  <c r="E13" i="6"/>
  <c r="E12"/>
  <c r="E11"/>
  <c r="E10"/>
  <c r="E9"/>
  <c r="E8"/>
  <c r="E7"/>
  <c r="E6"/>
  <c r="E5"/>
  <c r="E4"/>
  <c r="E3"/>
  <c r="E2"/>
  <c r="K13" i="11" l="1"/>
  <c r="M15"/>
  <c r="N15" s="1"/>
  <c r="N14" s="1"/>
  <c r="N13" s="1"/>
  <c r="K4"/>
  <c r="M8"/>
  <c r="N8" s="1"/>
  <c r="K9"/>
  <c r="M12"/>
  <c r="N12" s="1"/>
  <c r="N11" s="1"/>
  <c r="N10" s="1"/>
  <c r="K16"/>
  <c r="M18"/>
  <c r="N18" s="1"/>
  <c r="J20"/>
  <c r="K20" s="1"/>
  <c r="K10"/>
  <c r="E15" i="6"/>
  <c r="G16" i="3"/>
  <c r="F16"/>
  <c r="H16" s="1"/>
  <c r="I16" s="1"/>
  <c r="J16" s="1"/>
  <c r="N17" i="11" l="1"/>
  <c r="N16" s="1"/>
  <c r="N7"/>
  <c r="N6" s="1"/>
  <c r="N5" s="1"/>
  <c r="N4" s="1"/>
  <c r="N9"/>
  <c r="K22"/>
  <c r="F15" i="5"/>
  <c r="F14"/>
  <c r="F13"/>
  <c r="F12"/>
  <c r="F11"/>
  <c r="F10"/>
  <c r="F9"/>
  <c r="F8"/>
  <c r="F7"/>
  <c r="F6"/>
  <c r="F5"/>
  <c r="F4"/>
  <c r="F17" s="1"/>
  <c r="E17"/>
  <c r="D17"/>
  <c r="B3"/>
  <c r="K14" i="1" l="1"/>
  <c r="J12"/>
  <c r="J9"/>
  <c r="J13"/>
  <c r="J10"/>
  <c r="J7"/>
  <c r="J6"/>
  <c r="K8"/>
  <c r="J11"/>
  <c r="J4"/>
  <c r="K13"/>
  <c r="K6"/>
  <c r="J8"/>
  <c r="J5"/>
  <c r="J3"/>
  <c r="J14"/>
  <c r="K10"/>
  <c r="K11"/>
  <c r="K12"/>
  <c r="F9" i="6"/>
  <c r="G9" s="1"/>
  <c r="G10" i="1" s="1"/>
  <c r="H10" s="1"/>
  <c r="F4" i="6"/>
  <c r="G4" s="1"/>
  <c r="G5" i="1" s="1"/>
  <c r="H5" s="1"/>
  <c r="F13" i="6"/>
  <c r="G13" s="1"/>
  <c r="G14" i="1" s="1"/>
  <c r="H14" s="1"/>
  <c r="F11" i="6"/>
  <c r="F7"/>
  <c r="K9" i="1"/>
  <c r="F12" i="6"/>
  <c r="G12" s="1"/>
  <c r="G13" i="1" s="1"/>
  <c r="H13" s="1"/>
  <c r="F2" i="6"/>
  <c r="G2" s="1"/>
  <c r="G3" i="1" s="1"/>
  <c r="H3" s="1"/>
  <c r="K4"/>
  <c r="F10" i="6"/>
  <c r="G10" s="1"/>
  <c r="G11" i="1" s="1"/>
  <c r="H11" s="1"/>
  <c r="F8" i="6"/>
  <c r="F6"/>
  <c r="F5"/>
  <c r="F3"/>
  <c r="G3" s="1"/>
  <c r="G4" i="1" s="1"/>
  <c r="H4" s="1"/>
  <c r="B2" i="5"/>
  <c r="G15" i="3"/>
  <c r="F15"/>
  <c r="G14"/>
  <c r="F14"/>
  <c r="G13"/>
  <c r="F13"/>
  <c r="G5"/>
  <c r="F5"/>
  <c r="G11"/>
  <c r="F11"/>
  <c r="G10"/>
  <c r="F10"/>
  <c r="G9"/>
  <c r="F9"/>
  <c r="G8"/>
  <c r="F8"/>
  <c r="G7"/>
  <c r="F7"/>
  <c r="G12"/>
  <c r="F12"/>
  <c r="G6"/>
  <c r="F6"/>
  <c r="I7" i="2"/>
  <c r="I9"/>
  <c r="I14"/>
  <c r="I10"/>
  <c r="I17"/>
  <c r="I13"/>
  <c r="I16"/>
  <c r="I12"/>
  <c r="I15"/>
  <c r="I18"/>
  <c r="I11"/>
  <c r="I8"/>
  <c r="H7"/>
  <c r="H9"/>
  <c r="H14"/>
  <c r="H10"/>
  <c r="H17"/>
  <c r="H13"/>
  <c r="H16"/>
  <c r="H12"/>
  <c r="H15"/>
  <c r="H18"/>
  <c r="H11"/>
  <c r="H8"/>
  <c r="H6" i="3" l="1"/>
  <c r="I6" s="1"/>
  <c r="J6" s="1"/>
  <c r="H12"/>
  <c r="I12" s="1"/>
  <c r="J12" s="1"/>
  <c r="H7"/>
  <c r="I7" s="1"/>
  <c r="J7" s="1"/>
  <c r="H10"/>
  <c r="I10" s="1"/>
  <c r="J10" s="1"/>
  <c r="H5"/>
  <c r="I5" s="1"/>
  <c r="J5" s="1"/>
  <c r="H13"/>
  <c r="I13" s="1"/>
  <c r="J13" s="1"/>
  <c r="H14"/>
  <c r="I14" s="1"/>
  <c r="J14" s="1"/>
  <c r="H15"/>
  <c r="I15" s="1"/>
  <c r="J15" s="1"/>
  <c r="P5" i="1"/>
  <c r="Q5"/>
  <c r="Q11"/>
  <c r="P11"/>
  <c r="P3"/>
  <c r="Q3"/>
  <c r="Q13"/>
  <c r="P13"/>
  <c r="P10"/>
  <c r="Q10"/>
  <c r="K16"/>
  <c r="Q4"/>
  <c r="P4"/>
  <c r="P14"/>
  <c r="Q14"/>
  <c r="J16"/>
  <c r="N11"/>
  <c r="N3"/>
  <c r="N13"/>
  <c r="I7"/>
  <c r="G6" i="6"/>
  <c r="G7" i="1" s="1"/>
  <c r="H7" s="1"/>
  <c r="I9"/>
  <c r="G8" i="6"/>
  <c r="G9" i="1" s="1"/>
  <c r="H9" s="1"/>
  <c r="N10"/>
  <c r="N5"/>
  <c r="N4"/>
  <c r="I8"/>
  <c r="G7" i="6"/>
  <c r="G8" i="1" s="1"/>
  <c r="H8" s="1"/>
  <c r="I5"/>
  <c r="I14"/>
  <c r="I4"/>
  <c r="I10"/>
  <c r="I13"/>
  <c r="I11"/>
  <c r="I3"/>
  <c r="I6"/>
  <c r="G5" i="6"/>
  <c r="G6" i="1" s="1"/>
  <c r="H6" s="1"/>
  <c r="I12"/>
  <c r="G11" i="6"/>
  <c r="G12" i="1" s="1"/>
  <c r="H12" s="1"/>
  <c r="N14"/>
  <c r="H8" i="3"/>
  <c r="I8" s="1"/>
  <c r="J8" s="1"/>
  <c r="H9"/>
  <c r="I9" s="1"/>
  <c r="J9" s="1"/>
  <c r="H11"/>
  <c r="I11" s="1"/>
  <c r="J11" s="1"/>
  <c r="J18" i="2"/>
  <c r="K18" s="1"/>
  <c r="L18" s="1"/>
  <c r="M18" s="1"/>
  <c r="J16"/>
  <c r="K16" s="1"/>
  <c r="L16" s="1"/>
  <c r="J17"/>
  <c r="K17" s="1"/>
  <c r="L17" s="1"/>
  <c r="M17" s="1"/>
  <c r="J10"/>
  <c r="K10" s="1"/>
  <c r="L10" s="1"/>
  <c r="J7"/>
  <c r="K7" s="1"/>
  <c r="L7" s="1"/>
  <c r="M7" s="1"/>
  <c r="J15"/>
  <c r="K15" s="1"/>
  <c r="L15" s="1"/>
  <c r="M15" s="1"/>
  <c r="J9"/>
  <c r="K9" s="1"/>
  <c r="L9" s="1"/>
  <c r="M9" s="1"/>
  <c r="J8"/>
  <c r="K8" s="1"/>
  <c r="L8" s="1"/>
  <c r="M8" s="1"/>
  <c r="J12"/>
  <c r="K12" s="1"/>
  <c r="L12" s="1"/>
  <c r="J13"/>
  <c r="K13" s="1"/>
  <c r="L13" s="1"/>
  <c r="J11"/>
  <c r="K11" s="1"/>
  <c r="L11" s="1"/>
  <c r="J14"/>
  <c r="K14" s="1"/>
  <c r="L14" s="1"/>
  <c r="M14" s="1"/>
  <c r="J18" i="3" l="1"/>
  <c r="J20" s="1"/>
  <c r="J22" s="1"/>
  <c r="M5" i="1" s="1"/>
  <c r="P12"/>
  <c r="Q12"/>
  <c r="Q6"/>
  <c r="P6"/>
  <c r="Q7"/>
  <c r="P7"/>
  <c r="P8"/>
  <c r="Q8"/>
  <c r="Q9"/>
  <c r="P9"/>
  <c r="I16"/>
  <c r="G16"/>
  <c r="L21" i="2"/>
  <c r="L22" s="1"/>
  <c r="N7" i="1"/>
  <c r="M11" i="2"/>
  <c r="M12"/>
  <c r="N8" i="1"/>
  <c r="M16" i="2"/>
  <c r="N12" i="1"/>
  <c r="M10" i="2"/>
  <c r="N6" i="1"/>
  <c r="N9"/>
  <c r="M13" i="2"/>
  <c r="H16" i="1"/>
  <c r="M9" l="1"/>
  <c r="M10"/>
  <c r="M4"/>
  <c r="M6"/>
  <c r="M3"/>
  <c r="M14"/>
  <c r="M7"/>
  <c r="M8"/>
  <c r="M12"/>
  <c r="M11"/>
  <c r="M13"/>
  <c r="Q16"/>
  <c r="P16"/>
  <c r="N16"/>
  <c r="M21" i="2"/>
  <c r="M16" i="1" l="1"/>
  <c r="O21" i="2"/>
  <c r="L9" i="1" s="1"/>
  <c r="O9" s="1"/>
  <c r="L4" l="1"/>
  <c r="O4" s="1"/>
  <c r="L10"/>
  <c r="O10" s="1"/>
  <c r="L11"/>
  <c r="O11" s="1"/>
  <c r="L6"/>
  <c r="O6" s="1"/>
  <c r="L14"/>
  <c r="O14" s="1"/>
  <c r="L5"/>
  <c r="O5" s="1"/>
  <c r="L8"/>
  <c r="O8" s="1"/>
  <c r="L12"/>
  <c r="O12" s="1"/>
  <c r="L13"/>
  <c r="O13" s="1"/>
  <c r="L3"/>
  <c r="O3" s="1"/>
  <c r="L7"/>
  <c r="O7" s="1"/>
  <c r="L16" l="1"/>
  <c r="O16"/>
</calcChain>
</file>

<file path=xl/sharedStrings.xml><?xml version="1.0" encoding="utf-8"?>
<sst xmlns="http://schemas.openxmlformats.org/spreadsheetml/2006/main" count="235" uniqueCount="119">
  <si>
    <t>Sick Leave Usage by LC Employees 7/1/2008 - 6/30/2010</t>
  </si>
  <si>
    <t>Employee Num</t>
  </si>
  <si>
    <t>EmpStartDate</t>
  </si>
  <si>
    <t>LvAcrlStdt</t>
  </si>
  <si>
    <t>EmpEndDt</t>
  </si>
  <si>
    <t>LvAcrlEdt</t>
  </si>
  <si>
    <t>Accrued</t>
  </si>
  <si>
    <t>Calc Stdt</t>
  </si>
  <si>
    <t>Calc Eddt</t>
  </si>
  <si>
    <t>Years</t>
  </si>
  <si>
    <t>Days in Prd</t>
  </si>
  <si>
    <t>Hours Used</t>
  </si>
  <si>
    <t>Hours/Yr</t>
  </si>
  <si>
    <t>Cut &amp; paste data from sick_leave_calcs.sql in gray area</t>
  </si>
  <si>
    <t>emp_num</t>
  </si>
  <si>
    <t>ucsd_stdt</t>
  </si>
  <si>
    <t>boyr yrs</t>
  </si>
  <si>
    <t>eoyr yrs</t>
  </si>
  <si>
    <t>avg yr</t>
  </si>
  <si>
    <t># Weeks Svrnc</t>
  </si>
  <si>
    <t>NGN</t>
  </si>
  <si>
    <t>EmpNum</t>
  </si>
  <si>
    <t>Lname</t>
  </si>
  <si>
    <t>Fname</t>
  </si>
  <si>
    <t>TitleCode</t>
  </si>
  <si>
    <t>Title</t>
  </si>
  <si>
    <t>Payroll Calendar FY2011</t>
  </si>
  <si>
    <t>July</t>
  </si>
  <si>
    <t>Paid</t>
  </si>
  <si>
    <t>Holiday</t>
  </si>
  <si>
    <t>Working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</si>
  <si>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</si>
  <si>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</si>
  <si>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</si>
  <si>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</si>
  <si>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</si>
  <si>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</si>
  <si>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</si>
  <si>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</si>
  <si>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</si>
  <si>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</si>
  <si>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</si>
  <si>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Est Act Liab</t>
  </si>
  <si>
    <t>Average per year</t>
  </si>
  <si>
    <t>Estimated Annual Severance Liability</t>
  </si>
  <si>
    <t>Estimated Annual Salary</t>
  </si>
  <si>
    <t>Severance Accrual</t>
  </si>
  <si>
    <t>Average SL Hours</t>
  </si>
  <si>
    <t>Average SL Days</t>
  </si>
  <si>
    <t>Total Hourly Rate</t>
  </si>
  <si>
    <t>Max</t>
  </si>
  <si>
    <t>Min</t>
  </si>
  <si>
    <t>Pay Rate</t>
  </si>
  <si>
    <t>Pay Type</t>
  </si>
  <si>
    <t>Mon Ins</t>
  </si>
  <si>
    <t>M</t>
  </si>
  <si>
    <t>Annual Pay</t>
  </si>
  <si>
    <t>% Time</t>
  </si>
  <si>
    <t>Annual Ins</t>
  </si>
  <si>
    <t>FICA</t>
  </si>
  <si>
    <t>Annual Benefits</t>
  </si>
  <si>
    <t>Schedule B Hourly Benefits Calculation</t>
  </si>
  <si>
    <t>PayRate</t>
  </si>
  <si>
    <t>PayType</t>
  </si>
  <si>
    <t>AnnualPay</t>
  </si>
  <si>
    <t>HourlyRate</t>
  </si>
  <si>
    <t>WorkingHrs</t>
  </si>
  <si>
    <t>Salary</t>
  </si>
  <si>
    <t>Hourly Rates</t>
  </si>
  <si>
    <t>Benefits</t>
  </si>
  <si>
    <t>SickLeave</t>
  </si>
  <si>
    <t>TermCosts</t>
  </si>
  <si>
    <t>%Time</t>
  </si>
  <si>
    <t>Annual Support Fee</t>
  </si>
  <si>
    <t>Hourly</t>
  </si>
  <si>
    <t>Computer Acct Fee</t>
  </si>
  <si>
    <t>NGN Fee</t>
  </si>
  <si>
    <t>Code</t>
  </si>
  <si>
    <t>Days/Year</t>
  </si>
  <si>
    <t>Actual Per Appt</t>
  </si>
  <si>
    <t>A</t>
  </si>
  <si>
    <t>C</t>
  </si>
  <si>
    <t>D</t>
  </si>
  <si>
    <t>VacAccrual</t>
  </si>
  <si>
    <t>Avg Cost/Yr</t>
  </si>
  <si>
    <t>OT</t>
  </si>
  <si>
    <t>Premium OT</t>
  </si>
  <si>
    <t>Medicare</t>
  </si>
  <si>
    <t>WorkersComp</t>
  </si>
  <si>
    <t>EmpSupp</t>
  </si>
  <si>
    <t>Title Code</t>
  </si>
  <si>
    <t>Title Code Description</t>
  </si>
  <si>
    <t>Exempt/Nonexempt Status</t>
  </si>
  <si>
    <t>Academic</t>
  </si>
  <si>
    <t>Undergrad Students</t>
  </si>
  <si>
    <t>Graduate Students</t>
  </si>
  <si>
    <t>Operational Costs</t>
  </si>
  <si>
    <t>Total Operating Expenses</t>
  </si>
  <si>
    <t>Salary Expense</t>
  </si>
  <si>
    <t>Vacation</t>
  </si>
  <si>
    <t>Sick Leave</t>
  </si>
  <si>
    <t>Termination Costs</t>
  </si>
  <si>
    <t>Ind %</t>
  </si>
  <si>
    <t>StdDev</t>
  </si>
  <si>
    <t>XXXXXX</t>
  </si>
  <si>
    <t>XXXXXXXXXXXX</t>
  </si>
  <si>
    <t>XXXXXXXXXX</t>
  </si>
  <si>
    <t>XXXXXXXXXXXXX</t>
  </si>
  <si>
    <t>Other salary &amp; Benefits</t>
  </si>
  <si>
    <t>Layoffs 7/1/2000 - 6/30/2010</t>
  </si>
  <si>
    <t>Other Payroll-related</t>
  </si>
  <si>
    <t>Other Payrol Related</t>
  </si>
  <si>
    <t>Ret = 4% Med=1.45%WC  = .57% ES = .23%</t>
  </si>
  <si>
    <t>Total Expenditure Credits</t>
  </si>
  <si>
    <t xml:space="preserve">Net Difference </t>
  </si>
  <si>
    <t xml:space="preserve">Expenditure Credits </t>
  </si>
  <si>
    <t>Labor Clearing Fund Projected Annual Activity 7/1/2010 - 6/30/2011</t>
  </si>
  <si>
    <t>Annual Total</t>
  </si>
  <si>
    <t>Labor Billings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</si>
</sst>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&quot;$&quot;#,##0"/>
    <numFmt numFmtId="165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Tahoma"/>
      <charset val="1"/>
    </font>
    <font>
      <sz val="10"/>
      <color indexed="8"/>
      <name val="Tahoma"/>
      <family val="2"/>
    </font>
    <font>
      <sz val="10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4" fontId="0" fillId="0" borderId="0" xfId="0" applyNumberFormat="1"/>
    <xf numFmtId="0" fontId="0" fillId="2" borderId="0" xfId="0" applyFill="1"/>
    <xf numFmtId="14" fontId="0" fillId="2" borderId="0" xfId="0" applyNumberFormat="1" applyFill="1"/>
    <xf numFmtId="0" fontId="1" fillId="2" borderId="0" xfId="0" applyFont="1" applyFill="1"/>
    <xf numFmtId="14" fontId="1" fillId="2" borderId="0" xfId="0" applyNumberFormat="1" applyFont="1" applyFill="1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1" fillId="2" borderId="0" xfId="0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4" fontId="0" fillId="2" borderId="0" xfId="0" applyNumberFormat="1" applyFill="1"/>
    <xf numFmtId="0" fontId="0" fillId="0" borderId="0" xfId="0" applyFill="1"/>
    <xf numFmtId="4" fontId="0" fillId="0" borderId="0" xfId="0" applyNumberFormat="1" applyFill="1"/>
    <xf numFmtId="10" fontId="1" fillId="0" borderId="0" xfId="0" applyNumberFormat="1" applyFont="1" applyFill="1" applyAlignment="1">
      <alignment wrapText="1"/>
    </xf>
    <xf numFmtId="9" fontId="0" fillId="0" borderId="0" xfId="0" applyNumberFormat="1"/>
    <xf numFmtId="1" fontId="0" fillId="0" borderId="0" xfId="0" applyNumberFormat="1"/>
    <xf numFmtId="9" fontId="0" fillId="0" borderId="0" xfId="1" applyFont="1"/>
    <xf numFmtId="10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10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 applyFill="1"/>
    <xf numFmtId="9" fontId="0" fillId="2" borderId="0" xfId="0" applyNumberFormat="1" applyFill="1"/>
    <xf numFmtId="4" fontId="1" fillId="0" borderId="0" xfId="0" applyNumberFormat="1" applyFont="1"/>
    <xf numFmtId="2" fontId="1" fillId="0" borderId="0" xfId="0" applyNumberFormat="1" applyFont="1" applyAlignment="1">
      <alignment wrapText="1"/>
    </xf>
    <xf numFmtId="2" fontId="0" fillId="0" borderId="0" xfId="0" applyNumberFormat="1"/>
    <xf numFmtId="0" fontId="1" fillId="0" borderId="0" xfId="0" applyFont="1" applyFill="1" applyAlignment="1">
      <alignment wrapText="1"/>
    </xf>
    <xf numFmtId="2" fontId="1" fillId="0" borderId="0" xfId="0" applyNumberFormat="1" applyFont="1"/>
    <xf numFmtId="0" fontId="1" fillId="0" borderId="0" xfId="0" applyFont="1"/>
    <xf numFmtId="10" fontId="1" fillId="0" borderId="0" xfId="0" applyNumberFormat="1" applyFont="1" applyAlignment="1">
      <alignment wrapText="1"/>
    </xf>
    <xf numFmtId="0" fontId="4" fillId="3" borderId="0" xfId="0" applyFont="1" applyFill="1" applyAlignment="1" applyProtection="1">
      <alignment horizontal="left" vertical="top" wrapText="1"/>
    </xf>
    <xf numFmtId="0" fontId="4" fillId="3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 applyProtection="1"/>
    <xf numFmtId="0" fontId="4" fillId="0" borderId="0" xfId="0" applyFont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1" fontId="4" fillId="0" borderId="0" xfId="0" applyNumberFormat="1" applyFont="1" applyAlignment="1" applyProtection="1">
      <alignment horizontal="left" vertical="top" wrapText="1"/>
    </xf>
    <xf numFmtId="6" fontId="0" fillId="0" borderId="0" xfId="0" applyNumberFormat="1"/>
    <xf numFmtId="0" fontId="0" fillId="4" borderId="0" xfId="0" applyFill="1"/>
    <xf numFmtId="4" fontId="0" fillId="4" borderId="0" xfId="0" applyNumberFormat="1" applyFill="1"/>
    <xf numFmtId="10" fontId="0" fillId="4" borderId="0" xfId="0" applyNumberFormat="1" applyFill="1"/>
    <xf numFmtId="0" fontId="0" fillId="5" borderId="0" xfId="0" applyFill="1"/>
    <xf numFmtId="4" fontId="0" fillId="5" borderId="0" xfId="0" applyNumberFormat="1" applyFill="1"/>
    <xf numFmtId="10" fontId="0" fillId="5" borderId="0" xfId="0" applyNumberFormat="1" applyFill="1"/>
    <xf numFmtId="0" fontId="0" fillId="6" borderId="0" xfId="0" applyFill="1"/>
    <xf numFmtId="4" fontId="0" fillId="6" borderId="0" xfId="0" applyNumberFormat="1" applyFill="1"/>
    <xf numFmtId="10" fontId="0" fillId="6" borderId="0" xfId="0" applyNumberFormat="1" applyFill="1"/>
    <xf numFmtId="0" fontId="0" fillId="7" borderId="0" xfId="0" applyFill="1"/>
    <xf numFmtId="4" fontId="0" fillId="7" borderId="0" xfId="0" applyNumberFormat="1" applyFill="1"/>
    <xf numFmtId="10" fontId="0" fillId="7" borderId="0" xfId="0" applyNumberFormat="1" applyFill="1"/>
    <xf numFmtId="10" fontId="0" fillId="5" borderId="0" xfId="1" applyNumberFormat="1" applyFont="1" applyFill="1"/>
    <xf numFmtId="10" fontId="0" fillId="6" borderId="0" xfId="1" applyNumberFormat="1" applyFont="1" applyFill="1"/>
    <xf numFmtId="10" fontId="0" fillId="7" borderId="0" xfId="1" applyNumberFormat="1" applyFont="1" applyFill="1"/>
    <xf numFmtId="10" fontId="0" fillId="4" borderId="0" xfId="1" applyNumberFormat="1" applyFont="1" applyFill="1"/>
    <xf numFmtId="0" fontId="1" fillId="0" borderId="0" xfId="0" applyFont="1" applyFill="1"/>
    <xf numFmtId="0" fontId="4" fillId="0" borderId="0" xfId="0" applyFont="1" applyFill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0" fillId="0" borderId="0" xfId="0"/>
    <xf numFmtId="4" fontId="0" fillId="0" borderId="0" xfId="0" applyNumberFormat="1"/>
    <xf numFmtId="0" fontId="0" fillId="2" borderId="0" xfId="0" applyFill="1"/>
    <xf numFmtId="165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0" fillId="4" borderId="0" xfId="0" applyFill="1"/>
    <xf numFmtId="0" fontId="0" fillId="5" borderId="0" xfId="0" applyFill="1"/>
    <xf numFmtId="10" fontId="0" fillId="5" borderId="0" xfId="0" applyNumberFormat="1" applyFill="1"/>
    <xf numFmtId="10" fontId="0" fillId="6" borderId="0" xfId="0" applyNumberFormat="1" applyFill="1"/>
    <xf numFmtId="0" fontId="0" fillId="7" borderId="0" xfId="0" applyFill="1"/>
    <xf numFmtId="10" fontId="0" fillId="4" borderId="0" xfId="1" applyNumberFormat="1" applyFont="1" applyFill="1"/>
    <xf numFmtId="0" fontId="1" fillId="0" borderId="0" xfId="0" applyFont="1" applyFill="1"/>
    <xf numFmtId="0" fontId="6" fillId="0" borderId="0" xfId="0" applyNumberFormat="1" applyFont="1" applyFill="1" applyBorder="1" applyAlignment="1" applyProtection="1">
      <alignment horizontal="left" vertical="top" wrapText="1"/>
    </xf>
    <xf numFmtId="4" fontId="0" fillId="8" borderId="0" xfId="0" applyNumberFormat="1" applyFill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A14" sqref="A14"/>
    </sheetView>
  </sheetViews>
  <sheetFormatPr defaultRowHeight="15"/>
  <cols>
    <col min="1" max="1" width="9.140625" style="4"/>
    <col min="2" max="2" width="7.85546875" style="4" bestFit="1" customWidth="1"/>
    <col min="3" max="3" width="14.85546875" style="4" bestFit="1" customWidth="1"/>
    <col min="4" max="4" width="9.5703125" style="4" bestFit="1" customWidth="1"/>
    <col min="5" max="5" width="12.42578125" style="4" bestFit="1" customWidth="1"/>
    <col min="6" max="6" width="10.7109375" style="4" customWidth="1"/>
    <col min="7" max="7" width="7.5703125" style="15" bestFit="1" customWidth="1"/>
    <col min="8" max="8" width="8.42578125" style="10" bestFit="1" customWidth="1"/>
    <col min="9" max="9" width="5.5703125" style="8" bestFit="1" customWidth="1"/>
    <col min="10" max="11" width="11" style="10" bestFit="1" customWidth="1"/>
    <col min="12" max="12" width="10" customWidth="1"/>
    <col min="13" max="13" width="9.85546875" style="3" bestFit="1" customWidth="1"/>
    <col min="14" max="14" width="10.42578125" style="32" customWidth="1"/>
    <col min="15" max="15" width="7.5703125" bestFit="1" customWidth="1"/>
    <col min="16" max="16" width="6.5703125" bestFit="1" customWidth="1"/>
    <col min="17" max="17" width="9.140625" style="8"/>
  </cols>
  <sheetData>
    <row r="1" spans="1:17" ht="15.75">
      <c r="G1" s="78" t="s">
        <v>68</v>
      </c>
      <c r="H1" s="79"/>
      <c r="I1" s="79"/>
      <c r="J1" s="79"/>
      <c r="K1" s="79"/>
      <c r="L1" s="79"/>
      <c r="M1" s="79"/>
      <c r="N1" s="79"/>
    </row>
    <row r="2" spans="1:17" ht="45">
      <c r="A2" s="12" t="s">
        <v>21</v>
      </c>
      <c r="B2" s="12" t="s">
        <v>22</v>
      </c>
      <c r="C2" s="12" t="s">
        <v>23</v>
      </c>
      <c r="D2" s="12" t="s">
        <v>24</v>
      </c>
      <c r="E2" s="12" t="s">
        <v>25</v>
      </c>
      <c r="F2" s="12" t="s">
        <v>57</v>
      </c>
      <c r="G2" s="13" t="s">
        <v>67</v>
      </c>
      <c r="H2" s="13" t="s">
        <v>69</v>
      </c>
      <c r="I2" s="22" t="s">
        <v>20</v>
      </c>
      <c r="J2" s="31" t="s">
        <v>108</v>
      </c>
      <c r="K2" s="31" t="s">
        <v>108</v>
      </c>
      <c r="L2" s="17" t="s">
        <v>70</v>
      </c>
      <c r="M2" s="30" t="s">
        <v>71</v>
      </c>
      <c r="N2" s="34" t="s">
        <v>83</v>
      </c>
      <c r="O2" s="22" t="s">
        <v>49</v>
      </c>
      <c r="P2" s="35" t="s">
        <v>85</v>
      </c>
      <c r="Q2" s="36" t="s">
        <v>86</v>
      </c>
    </row>
    <row r="3" spans="1:17">
      <c r="A3" s="65">
        <v>1</v>
      </c>
      <c r="B3" s="4" t="s">
        <v>104</v>
      </c>
      <c r="C3" s="4" t="s">
        <v>105</v>
      </c>
      <c r="D3" s="4">
        <v>7274</v>
      </c>
      <c r="E3" s="4" t="s">
        <v>106</v>
      </c>
      <c r="F3" s="29">
        <v>1</v>
      </c>
      <c r="G3" s="28">
        <f>VLOOKUP(A3,'Schedule-A'!A$2:G$13,7)</f>
        <v>47.883084677419362</v>
      </c>
      <c r="H3" s="10">
        <f>G3*VLOOKUP(RateSummary!A3,'Schedule-B'!A$3:N$18,14,FALSE)</f>
        <v>12.676817278337957</v>
      </c>
      <c r="I3" s="10">
        <f>'Schedule-G'!B$2/VLOOKUP(A3,'Schedule-A'!A$2:F$13,6,FALSE)</f>
        <v>0.53830645161290325</v>
      </c>
      <c r="J3" s="32">
        <f>'Schedule-E'!F$3/('Schedule-G'!F$17*RateSummary!F3)</f>
        <v>9.4254032258064516E-2</v>
      </c>
      <c r="K3" s="10">
        <v>0.76</v>
      </c>
      <c r="L3" s="3">
        <f>G3*'Schedule-C'!O$21</f>
        <v>0.88031697569508183</v>
      </c>
      <c r="M3" s="3">
        <f>'Schedule-D'!J$22*RateSummary!G3</f>
        <v>0.27428947071673021</v>
      </c>
      <c r="N3" s="32">
        <f>(VLOOKUP(A3,'Schedule-F'!A$2:E$13,5,FALSE)*8*(G3*1.17)/('Schedule-G'!F$17*RateSummary!F3))</f>
        <v>3.3885005487447972</v>
      </c>
      <c r="O3" s="10">
        <f>G3+H3+I3+J3+K3+L3+M3+N3</f>
        <v>66.495569434784898</v>
      </c>
      <c r="P3" s="10">
        <f>VLOOKUP(D3,'Non-ExemptTcodes'!A$2:C$35,3,FALSE)*G3*(1+'Non-ExemptTcodes'!C$42)</f>
        <v>0</v>
      </c>
      <c r="Q3" s="10">
        <f>VLOOKUP(D3,'Non-ExemptTcodes'!A$2:C$35,3,FALSE)*(G3*1.5)*(1+'Non-ExemptTcodes'!C$42)</f>
        <v>0</v>
      </c>
    </row>
    <row r="4" spans="1:17">
      <c r="A4" s="65">
        <v>2</v>
      </c>
      <c r="B4" s="4" t="s">
        <v>104</v>
      </c>
      <c r="C4" s="4" t="s">
        <v>105</v>
      </c>
      <c r="D4" s="4">
        <v>4722</v>
      </c>
      <c r="E4" s="4" t="s">
        <v>106</v>
      </c>
      <c r="F4" s="29">
        <v>1</v>
      </c>
      <c r="G4" s="28">
        <f>VLOOKUP(A4,'Schedule-A'!A$2:G$13,7)</f>
        <v>22.22782258064516</v>
      </c>
      <c r="H4" s="10">
        <f>G4*VLOOKUP(RateSummary!A4,'Schedule-B'!A$3:N$18,14,FALSE)</f>
        <v>10.313798399081522</v>
      </c>
      <c r="I4" s="10">
        <f>'Schedule-G'!B$2/VLOOKUP(A4,'Schedule-A'!A$2:F$13,6,FALSE)</f>
        <v>0.53830645161290325</v>
      </c>
      <c r="J4" s="32">
        <f>'Schedule-E'!F$3/('Schedule-G'!F$17*RateSummary!F4)</f>
        <v>9.4254032258064516E-2</v>
      </c>
      <c r="K4" s="10">
        <f>VLOOKUP(A4,'Schedule-E'!A$3:D$11,4,FALSE)</f>
        <v>0.7552570564516129</v>
      </c>
      <c r="L4" s="3">
        <f>G4*'Schedule-C'!O$21</f>
        <v>0.40865223454803917</v>
      </c>
      <c r="M4" s="3">
        <f>'Schedule-D'!J$22*RateSummary!G4</f>
        <v>0.12732800595250066</v>
      </c>
      <c r="N4" s="32">
        <f>(VLOOKUP(A4,'Schedule-F'!A$2:E$13,5,FALSE)*8*(G4*1.17)/('Schedule-G'!F$17*RateSummary!F4))</f>
        <v>1.5729769608480748</v>
      </c>
      <c r="O4" s="10">
        <f t="shared" ref="O4:O5" si="0">G4+H4+I4+J4+K4+L4+M4+N4</f>
        <v>36.038395721397869</v>
      </c>
      <c r="P4" s="10">
        <f>VLOOKUP(D4,'Non-ExemptTcodes'!A$2:C$35,3,FALSE)*G4*(1+'Non-ExemptTcodes'!C$42)</f>
        <v>24.106073588709677</v>
      </c>
      <c r="Q4" s="10">
        <f>VLOOKUP(D4,'Non-ExemptTcodes'!A$2:C$35,3,FALSE)*(G4*1.5)*(1+'Non-ExemptTcodes'!C$42)</f>
        <v>36.159110383064515</v>
      </c>
    </row>
    <row r="5" spans="1:17">
      <c r="A5" s="65">
        <v>3</v>
      </c>
      <c r="B5" s="4" t="s">
        <v>104</v>
      </c>
      <c r="C5" s="4" t="s">
        <v>105</v>
      </c>
      <c r="D5" s="4">
        <v>7275</v>
      </c>
      <c r="E5" s="4" t="s">
        <v>106</v>
      </c>
      <c r="F5" s="29">
        <v>1</v>
      </c>
      <c r="G5" s="28">
        <f>VLOOKUP(A5,'Schedule-A'!A$2:G$13,7)</f>
        <v>31.401229838709678</v>
      </c>
      <c r="H5" s="10">
        <f>G5*VLOOKUP(RateSummary!A5,'Schedule-B'!A$3:N$18,14,FALSE)</f>
        <v>8.3133251682119891</v>
      </c>
      <c r="I5" s="10">
        <f>'Schedule-G'!B$2/VLOOKUP(A5,'Schedule-A'!A$2:F$13,6,FALSE)</f>
        <v>0.53830645161290325</v>
      </c>
      <c r="J5" s="32">
        <f>'Schedule-E'!F$3/('Schedule-G'!F$17*RateSummary!F5)</f>
        <v>9.4254032258064516E-2</v>
      </c>
      <c r="K5" s="10">
        <v>0</v>
      </c>
      <c r="L5" s="3">
        <f>G5*'Schedule-C'!O$21</f>
        <v>0.57730273375129759</v>
      </c>
      <c r="M5" s="3">
        <f>'Schedule-D'!J$22*RateSummary!G5</f>
        <v>0.17987618739140657</v>
      </c>
      <c r="N5" s="32">
        <f>(VLOOKUP(A5,'Schedule-F'!A$2:E$13,5,FALSE)*8*(G5*1.17)/('Schedule-G'!F$17*RateSummary!F5))</f>
        <v>2.2221434825377209</v>
      </c>
      <c r="O5" s="10">
        <f t="shared" si="0"/>
        <v>43.326437894473059</v>
      </c>
      <c r="P5" s="10">
        <f>VLOOKUP(D5,'Non-ExemptTcodes'!A$2:C$35,3,FALSE)*G5*(1+'Non-ExemptTcodes'!C$42)</f>
        <v>0</v>
      </c>
      <c r="Q5" s="10">
        <f>VLOOKUP(D5,'Non-ExemptTcodes'!A$2:C$35,3,FALSE)*(G5*1.5)*(1+'Non-ExemptTcodes'!C$42)</f>
        <v>0</v>
      </c>
    </row>
    <row r="6" spans="1:17">
      <c r="A6" s="65">
        <v>4</v>
      </c>
      <c r="B6" s="4" t="s">
        <v>104</v>
      </c>
      <c r="C6" s="4" t="s">
        <v>105</v>
      </c>
      <c r="D6" s="4">
        <v>7243</v>
      </c>
      <c r="E6" s="4" t="s">
        <v>106</v>
      </c>
      <c r="F6" s="29">
        <v>1</v>
      </c>
      <c r="G6" s="28">
        <f>VLOOKUP(A6,'Schedule-A'!A$2:G$13,7)</f>
        <v>29.33116935483871</v>
      </c>
      <c r="H6" s="10">
        <f>G6*VLOOKUP(RateSummary!A6,'Schedule-B'!A$3:N$18,14,FALSE)</f>
        <v>10.640500348651527</v>
      </c>
      <c r="I6" s="10">
        <f>'Schedule-G'!B$2/VLOOKUP(A6,'Schedule-A'!A$2:F$13,6,FALSE)</f>
        <v>0.53830645161290325</v>
      </c>
      <c r="J6" s="32">
        <f>'Schedule-E'!F$3/('Schedule-G'!F$17*RateSummary!F6)</f>
        <v>9.4254032258064516E-2</v>
      </c>
      <c r="K6" s="10">
        <f>VLOOKUP(A6,'Schedule-E'!A$3:D$11,4,FALSE)</f>
        <v>0.7552570564516129</v>
      </c>
      <c r="L6" s="3">
        <f>G6*'Schedule-C'!O$21</f>
        <v>0.53924525694202785</v>
      </c>
      <c r="M6" s="3">
        <f>'Schedule-D'!J$22*RateSummary!G6</f>
        <v>0.16801822547651041</v>
      </c>
      <c r="N6" s="32">
        <f>(VLOOKUP(A6,'Schedule-F'!A$2:E$13,5,FALSE)*8*(G6*1.17)/('Schedule-G'!F$17*RateSummary!F6))</f>
        <v>2.9059146413241419</v>
      </c>
      <c r="O6" s="10">
        <f t="shared" ref="O6:O10" si="1">G6+H6+I6+J6+K6+L6+M6+N6</f>
        <v>44.9726653675555</v>
      </c>
      <c r="P6" s="10">
        <f>VLOOKUP(D6,'Non-ExemptTcodes'!A$2:C$35,3,FALSE)*G6*(1+'Non-ExemptTcodes'!C$42)</f>
        <v>31.809653165322583</v>
      </c>
      <c r="Q6" s="10">
        <f>VLOOKUP(D6,'Non-ExemptTcodes'!A$2:C$35,3,FALSE)*(G6*1.5)*(1+'Non-ExemptTcodes'!C$42)</f>
        <v>47.714479747983873</v>
      </c>
    </row>
    <row r="7" spans="1:17">
      <c r="A7" s="65">
        <v>5</v>
      </c>
      <c r="B7" s="4" t="s">
        <v>104</v>
      </c>
      <c r="C7" s="4" t="s">
        <v>105</v>
      </c>
      <c r="D7" s="4">
        <v>7275</v>
      </c>
      <c r="E7" s="4" t="s">
        <v>106</v>
      </c>
      <c r="F7" s="29">
        <v>1</v>
      </c>
      <c r="G7" s="28">
        <f>VLOOKUP(A7,'Schedule-A'!A$2:G$13,7)</f>
        <v>37.802419354838712</v>
      </c>
      <c r="H7" s="10">
        <f>G7*VLOOKUP(RateSummary!A7,'Schedule-B'!A$3:N$18,14,FALSE)</f>
        <v>6.5720976208682371</v>
      </c>
      <c r="I7" s="10">
        <f>'Schedule-G'!B$2/VLOOKUP(A7,'Schedule-A'!A$2:F$13,6,FALSE)</f>
        <v>0.53830645161290325</v>
      </c>
      <c r="J7" s="32">
        <f>'Schedule-E'!F$3/('Schedule-G'!F$17*RateSummary!F7)</f>
        <v>9.4254032258064516E-2</v>
      </c>
      <c r="K7" s="10">
        <v>0</v>
      </c>
      <c r="L7" s="3">
        <f>G7*'Schedule-C'!O$21</f>
        <v>0.69498679344904624</v>
      </c>
      <c r="M7" s="3">
        <f>'Schedule-D'!J$22*RateSummary!G7</f>
        <v>0.21654422781037527</v>
      </c>
      <c r="N7" s="32">
        <f>(VLOOKUP(A7,'Schedule-F'!A$2:E$13,5,FALSE)*8*(G7*1.17)/('Schedule-G'!F$17*RateSummary!F7))</f>
        <v>2.6751308857960456</v>
      </c>
      <c r="O7" s="10">
        <f t="shared" si="1"/>
        <v>48.593739366633379</v>
      </c>
      <c r="P7" s="10">
        <f>VLOOKUP(D7,'Non-ExemptTcodes'!A$2:C$35,3,FALSE)*G7*(1+'Non-ExemptTcodes'!C$42)</f>
        <v>0</v>
      </c>
      <c r="Q7" s="10">
        <f>VLOOKUP(D7,'Non-ExemptTcodes'!A$2:C$35,3,FALSE)*(G7*1.5)*(1+'Non-ExemptTcodes'!C$42)</f>
        <v>0</v>
      </c>
    </row>
    <row r="8" spans="1:17">
      <c r="A8" s="65">
        <v>6</v>
      </c>
      <c r="B8" s="4" t="s">
        <v>104</v>
      </c>
      <c r="C8" s="4" t="s">
        <v>105</v>
      </c>
      <c r="D8" s="4">
        <v>7277</v>
      </c>
      <c r="E8" s="4" t="s">
        <v>106</v>
      </c>
      <c r="F8" s="29">
        <v>1</v>
      </c>
      <c r="G8" s="28">
        <f>VLOOKUP(A8,'Schedule-A'!A$2:G$13,7)</f>
        <v>26.209657258064517</v>
      </c>
      <c r="H8" s="10">
        <f>G8*VLOOKUP(RateSummary!A8,'Schedule-B'!A$3:N$18,14,FALSE)</f>
        <v>12.161385582773315</v>
      </c>
      <c r="I8" s="10">
        <f>'Schedule-G'!B$2/VLOOKUP(A8,'Schedule-A'!A$2:F$13,6,FALSE)</f>
        <v>0.53830645161290325</v>
      </c>
      <c r="J8" s="32">
        <f>'Schedule-E'!F$3/('Schedule-G'!F$17*RateSummary!F8)</f>
        <v>9.4254032258064516E-2</v>
      </c>
      <c r="K8" s="10">
        <f>VLOOKUP(A8,'Schedule-E'!A$3:D$11,4,FALSE)</f>
        <v>0.7552570564516129</v>
      </c>
      <c r="L8" s="3">
        <f>G8*'Schedule-C'!O$21</f>
        <v>0.48185713946504888</v>
      </c>
      <c r="M8" s="3">
        <f>'Schedule-D'!J$22*RateSummary!G8</f>
        <v>0.15013721579160536</v>
      </c>
      <c r="N8" s="32">
        <f>(VLOOKUP(A8,'Schedule-F'!A$2:E$13,5,FALSE)*8*(G8*1.17)/('Schedule-G'!F$17*RateSummary!F8))</f>
        <v>1.8547559874154527</v>
      </c>
      <c r="O8" s="10">
        <f t="shared" si="1"/>
        <v>42.245610723832513</v>
      </c>
      <c r="P8" s="10">
        <f>VLOOKUP(D8,'Non-ExemptTcodes'!A$2:C$35,3,FALSE)*G8*(1+'Non-ExemptTcodes'!C$42)</f>
        <v>28.42437329637097</v>
      </c>
      <c r="Q8" s="10">
        <f>VLOOKUP(D8,'Non-ExemptTcodes'!A$2:C$35,3,FALSE)*(G8*1.5)*(1+'Non-ExemptTcodes'!C$42)</f>
        <v>42.63655994455646</v>
      </c>
    </row>
    <row r="9" spans="1:17">
      <c r="A9" s="65">
        <v>7</v>
      </c>
      <c r="B9" s="4" t="s">
        <v>104</v>
      </c>
      <c r="C9" s="4" t="s">
        <v>105</v>
      </c>
      <c r="D9" s="4">
        <v>245</v>
      </c>
      <c r="E9" s="4" t="s">
        <v>106</v>
      </c>
      <c r="F9" s="29">
        <v>1</v>
      </c>
      <c r="G9" s="28">
        <f>VLOOKUP(A9,'Schedule-A'!A$2:G$13,7)</f>
        <v>77.580604838709675</v>
      </c>
      <c r="H9" s="10">
        <f>G9*VLOOKUP(RateSummary!A9,'Schedule-B'!A$3:N$18,14,FALSE)</f>
        <v>13.487689867149724</v>
      </c>
      <c r="I9" s="10">
        <f>'Schedule-G'!B$2/VLOOKUP(A9,'Schedule-A'!A$2:F$13,6,FALSE)</f>
        <v>0.53830645161290325</v>
      </c>
      <c r="J9" s="32">
        <f>'Schedule-E'!F$3/('Schedule-G'!F$17*RateSummary!F9)</f>
        <v>9.4254032258064516E-2</v>
      </c>
      <c r="K9" s="10">
        <f>VLOOKUP(A9,'Schedule-E'!A$3:D$11,4,FALSE)</f>
        <v>0.7552570564516129</v>
      </c>
      <c r="L9" s="3">
        <f>G9*'Schedule-C'!O$21</f>
        <v>1.4262974886497828</v>
      </c>
      <c r="M9" s="3">
        <f>'Schedule-D'!J$22*RateSummary!G9</f>
        <v>0.44440626961379648</v>
      </c>
      <c r="N9" s="32">
        <f>(VLOOKUP(A9,'Schedule-F'!A$2:E$13,5,FALSE)*8*(G9*1.17)/('Schedule-G'!F$17*RateSummary!F9))</f>
        <v>8.7841265478668031</v>
      </c>
      <c r="O9" s="10">
        <f t="shared" si="1"/>
        <v>103.11094255231235</v>
      </c>
      <c r="P9" s="10">
        <f>VLOOKUP(D9,'Non-ExemptTcodes'!A$2:C$35,3,FALSE)*G9*(1+'Non-ExemptTcodes'!C$42)</f>
        <v>0</v>
      </c>
      <c r="Q9" s="10">
        <f>VLOOKUP(D9,'Non-ExemptTcodes'!A$2:C$35,3,FALSE)*(G9*1.5)*(1+'Non-ExemptTcodes'!C$42)</f>
        <v>0</v>
      </c>
    </row>
    <row r="10" spans="1:17">
      <c r="A10" s="65">
        <v>8</v>
      </c>
      <c r="B10" s="4" t="s">
        <v>104</v>
      </c>
      <c r="C10" s="4" t="s">
        <v>105</v>
      </c>
      <c r="D10" s="4">
        <v>738</v>
      </c>
      <c r="E10" s="4" t="s">
        <v>106</v>
      </c>
      <c r="F10" s="29">
        <v>1</v>
      </c>
      <c r="G10" s="28">
        <f>VLOOKUP(A10,'Schedule-A'!A$2:G$13,7)</f>
        <v>36.29032258064516</v>
      </c>
      <c r="H10" s="10">
        <f>G10*VLOOKUP(RateSummary!A10,'Schedule-B'!A$3:N$18,14,FALSE)</f>
        <v>6.3092137160335069</v>
      </c>
      <c r="I10" s="10">
        <f>'Schedule-G'!B$2/VLOOKUP(A10,'Schedule-A'!A$2:F$13,6,FALSE)</f>
        <v>0.53830645161290325</v>
      </c>
      <c r="J10" s="32">
        <f>'Schedule-E'!F$3/('Schedule-G'!F$17*RateSummary!F10)</f>
        <v>9.4254032258064516E-2</v>
      </c>
      <c r="K10" s="10">
        <f>VLOOKUP(A10,'Schedule-E'!A$3:D$11,4,FALSE)</f>
        <v>0.7552570564516129</v>
      </c>
      <c r="L10" s="3">
        <f>G10*'Schedule-C'!O$21</f>
        <v>0.6671873217110843</v>
      </c>
      <c r="M10" s="3">
        <f>'Schedule-D'!J$22*RateSummary!G10</f>
        <v>0.20788245869796024</v>
      </c>
      <c r="N10" s="32">
        <f>(VLOOKUP(A10,'Schedule-F'!A$2:E$13,5,FALSE)*8*(G10*1.17)/('Schedule-G'!F$17*RateSummary!F10))</f>
        <v>3.595375910509885</v>
      </c>
      <c r="O10" s="10">
        <f t="shared" si="1"/>
        <v>48.457799527920173</v>
      </c>
      <c r="P10" s="10">
        <f>VLOOKUP(D10,'Non-ExemptTcodes'!A$2:C$35,3,FALSE)*G10*(1+'Non-ExemptTcodes'!C$42)</f>
        <v>0</v>
      </c>
      <c r="Q10" s="10">
        <f>VLOOKUP(D10,'Non-ExemptTcodes'!A$2:C$35,3,FALSE)*(G10*1.5)*(1+'Non-ExemptTcodes'!C$42)</f>
        <v>0</v>
      </c>
    </row>
    <row r="11" spans="1:17">
      <c r="A11" s="65">
        <v>9</v>
      </c>
      <c r="B11" s="4" t="s">
        <v>104</v>
      </c>
      <c r="C11" s="4" t="s">
        <v>105</v>
      </c>
      <c r="D11" s="4">
        <v>737</v>
      </c>
      <c r="E11" s="4" t="s">
        <v>106</v>
      </c>
      <c r="F11" s="29">
        <v>1</v>
      </c>
      <c r="G11" s="28">
        <f>VLOOKUP(A11,'Schedule-A'!A$2:G$13,7)</f>
        <v>41.947560483870966</v>
      </c>
      <c r="H11" s="10">
        <f>G11*VLOOKUP(RateSummary!A11,'Schedule-B'!A$3:N$18,14,FALSE)</f>
        <v>15.217362340860017</v>
      </c>
      <c r="I11" s="10">
        <f>'Schedule-G'!B$2/VLOOKUP(A11,'Schedule-A'!A$2:F$13,6,FALSE)</f>
        <v>0.53830645161290325</v>
      </c>
      <c r="J11" s="32">
        <f>'Schedule-E'!F$3/('Schedule-G'!F$17*RateSummary!F11)</f>
        <v>9.4254032258064516E-2</v>
      </c>
      <c r="K11" s="10">
        <f>VLOOKUP(A11,'Schedule-E'!A$3:D$11,4,FALSE)</f>
        <v>0.7552570564516129</v>
      </c>
      <c r="L11" s="3">
        <f>G11*'Schedule-C'!O$21</f>
        <v>0.7711940413137558</v>
      </c>
      <c r="M11" s="3">
        <f>'Schedule-D'!J$22*RateSummary!G11</f>
        <v>0.24028890871362077</v>
      </c>
      <c r="N11" s="32">
        <f>(VLOOKUP(A11,'Schedule-F'!A$2:E$13,5,FALSE)*8*(G11*1.17)/('Schedule-G'!F$17*RateSummary!F11))</f>
        <v>4.7495463644640994</v>
      </c>
      <c r="O11" s="10">
        <f t="shared" ref="O11:O14" si="2">G11+H11+I11+J11+K11+L11+M11+N11</f>
        <v>64.313769679545032</v>
      </c>
      <c r="P11" s="10">
        <f>VLOOKUP(D11,'Non-ExemptTcodes'!A$2:C$35,3,FALSE)*G11*(1+'Non-ExemptTcodes'!C$42)</f>
        <v>0</v>
      </c>
      <c r="Q11" s="10">
        <f>VLOOKUP(D11,'Non-ExemptTcodes'!A$2:C$35,3,FALSE)*(G11*1.5)*(1+'Non-ExemptTcodes'!C$42)</f>
        <v>0</v>
      </c>
    </row>
    <row r="12" spans="1:17">
      <c r="A12" s="65">
        <v>10</v>
      </c>
      <c r="B12" s="4" t="s">
        <v>104</v>
      </c>
      <c r="C12" s="4" t="s">
        <v>105</v>
      </c>
      <c r="D12" s="4">
        <v>738</v>
      </c>
      <c r="E12" s="4" t="s">
        <v>106</v>
      </c>
      <c r="F12" s="29">
        <v>1</v>
      </c>
      <c r="G12" s="28">
        <f>VLOOKUP(A12,'Schedule-A'!A$2:G$13,7)</f>
        <v>46.572580645161288</v>
      </c>
      <c r="H12" s="10">
        <f>G12*VLOOKUP(RateSummary!A12,'Schedule-B'!A$3:N$18,14,FALSE)</f>
        <v>12.329867613933921</v>
      </c>
      <c r="I12" s="10">
        <f>'Schedule-G'!B$2/VLOOKUP(A12,'Schedule-A'!A$2:F$13,6,FALSE)</f>
        <v>0.53830645161290325</v>
      </c>
      <c r="J12" s="32">
        <f>'Schedule-E'!F$3/('Schedule-G'!F$17*RateSummary!F12)</f>
        <v>9.4254032258064516E-2</v>
      </c>
      <c r="K12" s="10">
        <f>VLOOKUP(A12,'Schedule-E'!A$3:D$11,4,FALSE)</f>
        <v>0.7552570564516129</v>
      </c>
      <c r="L12" s="3">
        <f>G12*'Schedule-C'!O$21</f>
        <v>0.85622372952922488</v>
      </c>
      <c r="M12" s="3">
        <f>'Schedule-D'!J$22*RateSummary!G12</f>
        <v>0.2667824886623823</v>
      </c>
      <c r="N12" s="32">
        <f>(VLOOKUP(A12,'Schedule-F'!A$2:E$13,5,FALSE)*8*(G12*1.17)/('Schedule-G'!F$17*RateSummary!F12))</f>
        <v>4.6140657518210189</v>
      </c>
      <c r="O12" s="10">
        <f t="shared" si="2"/>
        <v>66.027337769430417</v>
      </c>
      <c r="P12" s="10">
        <f>VLOOKUP(D12,'Non-ExemptTcodes'!A$2:C$35,3,FALSE)*G12*(1+'Non-ExemptTcodes'!C$42)</f>
        <v>0</v>
      </c>
      <c r="Q12" s="10">
        <f>VLOOKUP(D12,'Non-ExemptTcodes'!A$2:C$35,3,FALSE)*(G12*1.5)*(1+'Non-ExemptTcodes'!C$42)</f>
        <v>0</v>
      </c>
    </row>
    <row r="13" spans="1:17">
      <c r="A13" s="65">
        <v>11</v>
      </c>
      <c r="B13" s="4" t="s">
        <v>104</v>
      </c>
      <c r="C13" s="4" t="s">
        <v>105</v>
      </c>
      <c r="D13" s="4">
        <v>461</v>
      </c>
      <c r="E13" s="4" t="s">
        <v>106</v>
      </c>
      <c r="F13" s="29">
        <v>0.8</v>
      </c>
      <c r="G13" s="28">
        <f>VLOOKUP(A13,'Schedule-A'!A$2:G$13,7)</f>
        <v>45.715705645161293</v>
      </c>
      <c r="H13" s="10">
        <f>G13*VLOOKUP(RateSummary!A13,'Schedule-B'!A$3:N$18,14,FALSE)</f>
        <v>7.947853217717924</v>
      </c>
      <c r="I13" s="10">
        <f>'Schedule-G'!B$2/VLOOKUP(A13,'Schedule-A'!A$2:F$13,6,FALSE)</f>
        <v>0.672883064516129</v>
      </c>
      <c r="J13" s="32">
        <f>'Schedule-E'!F$3/('Schedule-G'!F$17*RateSummary!F13)</f>
        <v>0.11781754032258064</v>
      </c>
      <c r="K13" s="10">
        <f>VLOOKUP(A13,'Schedule-E'!A$3:D$11,4,FALSE)</f>
        <v>0.7552570564516129</v>
      </c>
      <c r="L13" s="3">
        <f>G13*'Schedule-C'!O$21</f>
        <v>0.84047032488475681</v>
      </c>
      <c r="M13" s="3">
        <f>'Schedule-D'!J$22*RateSummary!G13</f>
        <v>0.26187403734175901</v>
      </c>
      <c r="N13" s="32">
        <f>(VLOOKUP(A13,'Schedule-F'!A$2:E$13,5,FALSE)*8*(G13*1.17)/('Schedule-G'!F$17*RateSummary!F13))</f>
        <v>4.5291729342806972</v>
      </c>
      <c r="O13" s="10">
        <f t="shared" si="2"/>
        <v>60.841033820676749</v>
      </c>
      <c r="P13" s="10">
        <f>VLOOKUP(D13,'Non-ExemptTcodes'!A$2:C$35,3,FALSE)*G13*(1+'Non-ExemptTcodes'!C$42)</f>
        <v>0</v>
      </c>
      <c r="Q13" s="10">
        <f>VLOOKUP(D13,'Non-ExemptTcodes'!A$2:C$35,3,FALSE)*(G13*1.5)*(1+'Non-ExemptTcodes'!C$42)</f>
        <v>0</v>
      </c>
    </row>
    <row r="14" spans="1:17">
      <c r="A14" s="65">
        <v>12</v>
      </c>
      <c r="B14" s="4" t="s">
        <v>104</v>
      </c>
      <c r="C14" s="4" t="s">
        <v>105</v>
      </c>
      <c r="D14" s="4">
        <v>7671</v>
      </c>
      <c r="E14" s="4" t="s">
        <v>106</v>
      </c>
      <c r="F14" s="29">
        <v>1</v>
      </c>
      <c r="G14" s="28">
        <f>VLOOKUP(A14,'Schedule-A'!A$2:G$13,7)</f>
        <v>40.322600806451618</v>
      </c>
      <c r="H14" s="10">
        <f>G14*VLOOKUP(RateSummary!A14,'Schedule-B'!A$3:N$18,14,FALSE)</f>
        <v>14.627873943552977</v>
      </c>
      <c r="I14" s="10">
        <f>'Schedule-G'!B$2/VLOOKUP(A14,'Schedule-A'!A$2:F$13,6,FALSE)</f>
        <v>0.53830645161290325</v>
      </c>
      <c r="J14" s="32">
        <f>'Schedule-E'!F$3/('Schedule-G'!F$17*RateSummary!F14)</f>
        <v>9.4254032258064516E-2</v>
      </c>
      <c r="K14" s="10">
        <f>VLOOKUP(A14,'Schedule-E'!A$3:D$11,4,FALSE)</f>
        <v>0.7552570564516129</v>
      </c>
      <c r="L14" s="3">
        <f>G14*'Schedule-C'!O$21</f>
        <v>0.7413196170052726</v>
      </c>
      <c r="M14" s="3">
        <f>'Schedule-D'!J$22*RateSummary!G14</f>
        <v>0.23098062515465514</v>
      </c>
      <c r="N14" s="32">
        <f>(VLOOKUP(A14,'Schedule-F'!A$2:E$13,5,FALSE)*8*(G14*1.17)/('Schedule-G'!F$17*RateSummary!F14))</f>
        <v>2.8534743715855884</v>
      </c>
      <c r="O14" s="10">
        <f t="shared" si="2"/>
        <v>60.164066904072698</v>
      </c>
      <c r="P14" s="10">
        <f>VLOOKUP(D14,'Non-ExemptTcodes'!A$2:C$35,3,FALSE)*G14*(1+'Non-ExemptTcodes'!C$42)</f>
        <v>0</v>
      </c>
      <c r="Q14" s="10">
        <f>VLOOKUP(D14,'Non-ExemptTcodes'!A$2:C$35,3,FALSE)*(G14*1.5)*(1+'Non-ExemptTcodes'!C$42)</f>
        <v>0</v>
      </c>
    </row>
    <row r="16" spans="1:17">
      <c r="G16" s="28">
        <f t="shared" ref="G16:Q16" si="3">AVERAGE(G3:G14)</f>
        <v>40.273729838709677</v>
      </c>
      <c r="H16" s="28">
        <f t="shared" si="3"/>
        <v>10.883148758097718</v>
      </c>
      <c r="I16" s="28">
        <f t="shared" si="3"/>
        <v>0.54952116935483863</v>
      </c>
      <c r="J16" s="28">
        <f t="shared" si="3"/>
        <v>9.6217657930107517E-2</v>
      </c>
      <c r="K16" s="28">
        <f t="shared" si="3"/>
        <v>0.62977612567204289</v>
      </c>
      <c r="L16" s="28">
        <f t="shared" si="3"/>
        <v>0.74042113807870147</v>
      </c>
      <c r="M16" s="28">
        <f t="shared" si="3"/>
        <v>0.23070067677694187</v>
      </c>
      <c r="N16" s="28">
        <f t="shared" si="3"/>
        <v>3.6454320322661942</v>
      </c>
      <c r="O16" s="28">
        <f t="shared" si="3"/>
        <v>57.048947396886213</v>
      </c>
      <c r="P16" s="28">
        <f t="shared" si="3"/>
        <v>7.0283416708669364</v>
      </c>
      <c r="Q16" s="28">
        <f t="shared" si="3"/>
        <v>10.542512506300405</v>
      </c>
    </row>
  </sheetData>
  <sortState ref="A2:F191">
    <sortCondition ref="B2:B191"/>
    <sortCondition ref="C2:C191"/>
  </sortState>
  <mergeCells count="1">
    <mergeCell ref="G1:N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29"/>
  <sheetViews>
    <sheetView tabSelected="1" workbookViewId="0">
      <selection activeCell="B9" sqref="B9"/>
    </sheetView>
  </sheetViews>
  <sheetFormatPr defaultRowHeight="15"/>
  <cols>
    <col min="2" max="2" width="19.42578125" customWidth="1"/>
    <col min="4" max="4" width="11.140625" customWidth="1"/>
  </cols>
  <sheetData>
    <row r="2" spans="1:4">
      <c r="A2" s="35" t="s">
        <v>116</v>
      </c>
    </row>
    <row r="7" spans="1:4">
      <c r="A7" s="35" t="s">
        <v>115</v>
      </c>
    </row>
    <row r="8" spans="1:4">
      <c r="D8" s="63" t="s">
        <v>117</v>
      </c>
    </row>
    <row r="9" spans="1:4">
      <c r="B9" s="63" t="s">
        <v>118</v>
      </c>
      <c r="D9" s="43">
        <v>1018608.9557714034</v>
      </c>
    </row>
    <row r="10" spans="1:4">
      <c r="D10" s="43"/>
    </row>
    <row r="12" spans="1:4">
      <c r="A12" s="63" t="s">
        <v>113</v>
      </c>
      <c r="D12" s="43">
        <v>1018608.9557714034</v>
      </c>
    </row>
    <row r="16" spans="1:4">
      <c r="A16" t="s">
        <v>96</v>
      </c>
    </row>
    <row r="18" spans="1:4">
      <c r="B18" t="s">
        <v>98</v>
      </c>
      <c r="D18" s="43">
        <v>719087.44627016131</v>
      </c>
    </row>
    <row r="19" spans="1:4">
      <c r="B19" t="s">
        <v>69</v>
      </c>
      <c r="D19" s="43">
        <v>194318.62107583476</v>
      </c>
    </row>
    <row r="20" spans="1:4">
      <c r="B20" t="s">
        <v>99</v>
      </c>
      <c r="D20" s="43">
        <v>65089.1889361129</v>
      </c>
    </row>
    <row r="21" spans="1:4">
      <c r="B21" t="s">
        <v>100</v>
      </c>
      <c r="D21" s="43">
        <v>13220.219420395215</v>
      </c>
    </row>
    <row r="22" spans="1:4">
      <c r="B22" t="s">
        <v>101</v>
      </c>
      <c r="D22" s="43">
        <v>4119.1605838522973</v>
      </c>
    </row>
    <row r="23" spans="1:4">
      <c r="B23" t="s">
        <v>20</v>
      </c>
      <c r="D23" s="43">
        <v>9811.700478830644</v>
      </c>
    </row>
    <row r="24" spans="1:4">
      <c r="B24" s="63" t="s">
        <v>110</v>
      </c>
      <c r="D24" s="43">
        <v>12962.619006216395</v>
      </c>
    </row>
    <row r="26" spans="1:4">
      <c r="A26" t="s">
        <v>97</v>
      </c>
      <c r="D26" s="43">
        <v>1018608.9557714035</v>
      </c>
    </row>
    <row r="29" spans="1:4">
      <c r="A29" s="63" t="s">
        <v>114</v>
      </c>
      <c r="D29" s="4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A2" sqref="A2:A13"/>
    </sheetView>
  </sheetViews>
  <sheetFormatPr defaultRowHeight="15"/>
  <cols>
    <col min="5" max="6" width="12.85546875" style="3" customWidth="1"/>
    <col min="7" max="7" width="11.7109375" style="3" customWidth="1"/>
  </cols>
  <sheetData>
    <row r="1" spans="1:7">
      <c r="A1" t="s">
        <v>21</v>
      </c>
      <c r="B1" t="s">
        <v>62</v>
      </c>
      <c r="C1" t="s">
        <v>63</v>
      </c>
      <c r="D1" t="s">
        <v>57</v>
      </c>
      <c r="E1" s="3" t="s">
        <v>64</v>
      </c>
      <c r="F1" s="3" t="s">
        <v>66</v>
      </c>
      <c r="G1" s="3" t="s">
        <v>65</v>
      </c>
    </row>
    <row r="2" spans="1:7">
      <c r="A2" s="65">
        <v>1</v>
      </c>
      <c r="B2" s="4">
        <v>7916.67</v>
      </c>
      <c r="C2" s="4" t="s">
        <v>55</v>
      </c>
      <c r="D2" s="4">
        <v>1</v>
      </c>
      <c r="E2" s="3">
        <f>B2*D2*12</f>
        <v>95000.040000000008</v>
      </c>
      <c r="F2" s="3">
        <f>D2*'Schedule-G'!F$17</f>
        <v>1984</v>
      </c>
      <c r="G2" s="3">
        <f>E2/F2</f>
        <v>47.883084677419362</v>
      </c>
    </row>
    <row r="3" spans="1:7">
      <c r="A3" s="65">
        <v>2</v>
      </c>
      <c r="B3" s="4">
        <v>3675</v>
      </c>
      <c r="C3" s="4" t="s">
        <v>55</v>
      </c>
      <c r="D3" s="4">
        <v>1</v>
      </c>
      <c r="E3" s="3">
        <f t="shared" ref="E3:E4" si="0">B3*D3*12</f>
        <v>44100</v>
      </c>
      <c r="F3" s="3">
        <f>D3*'Schedule-G'!F$17</f>
        <v>1984</v>
      </c>
      <c r="G3" s="3">
        <f t="shared" ref="G3:G4" si="1">E3/F3</f>
        <v>22.22782258064516</v>
      </c>
    </row>
    <row r="4" spans="1:7">
      <c r="A4" s="65">
        <v>3</v>
      </c>
      <c r="B4" s="4">
        <v>5191.67</v>
      </c>
      <c r="C4" s="4" t="s">
        <v>55</v>
      </c>
      <c r="D4" s="4">
        <v>1</v>
      </c>
      <c r="E4" s="3">
        <f t="shared" si="0"/>
        <v>62300.04</v>
      </c>
      <c r="F4" s="3">
        <f>D4*'Schedule-G'!F$17</f>
        <v>1984</v>
      </c>
      <c r="G4" s="3">
        <f t="shared" si="1"/>
        <v>31.401229838709678</v>
      </c>
    </row>
    <row r="5" spans="1:7">
      <c r="A5" s="65">
        <v>4</v>
      </c>
      <c r="B5" s="4">
        <v>4849.42</v>
      </c>
      <c r="C5" s="4" t="s">
        <v>55</v>
      </c>
      <c r="D5" s="4">
        <v>1</v>
      </c>
      <c r="E5" s="3">
        <f t="shared" ref="E5:E9" si="2">B5*D5*12</f>
        <v>58193.04</v>
      </c>
      <c r="F5" s="3">
        <f>D5*'Schedule-G'!F$17</f>
        <v>1984</v>
      </c>
      <c r="G5" s="3">
        <f t="shared" ref="G5:G9" si="3">E5/F5</f>
        <v>29.33116935483871</v>
      </c>
    </row>
    <row r="6" spans="1:7">
      <c r="A6" s="65">
        <v>5</v>
      </c>
      <c r="B6" s="4">
        <v>6250</v>
      </c>
      <c r="C6" s="4" t="s">
        <v>55</v>
      </c>
      <c r="D6" s="4">
        <v>1</v>
      </c>
      <c r="E6" s="3">
        <f t="shared" si="2"/>
        <v>75000</v>
      </c>
      <c r="F6" s="3">
        <f>D6*'Schedule-G'!F$17</f>
        <v>1984</v>
      </c>
      <c r="G6" s="3">
        <f t="shared" si="3"/>
        <v>37.802419354838712</v>
      </c>
    </row>
    <row r="7" spans="1:7">
      <c r="A7" s="65">
        <v>6</v>
      </c>
      <c r="B7" s="4">
        <v>4333.33</v>
      </c>
      <c r="C7" s="4" t="s">
        <v>55</v>
      </c>
      <c r="D7" s="4">
        <v>1</v>
      </c>
      <c r="E7" s="3">
        <f t="shared" si="2"/>
        <v>51999.96</v>
      </c>
      <c r="F7" s="3">
        <f>D7*'Schedule-G'!F$17</f>
        <v>1984</v>
      </c>
      <c r="G7" s="3">
        <f t="shared" si="3"/>
        <v>26.209657258064517</v>
      </c>
    </row>
    <row r="8" spans="1:7">
      <c r="A8" s="65">
        <v>7</v>
      </c>
      <c r="B8" s="4">
        <v>12826.66</v>
      </c>
      <c r="C8" s="4" t="s">
        <v>55</v>
      </c>
      <c r="D8" s="4">
        <v>1</v>
      </c>
      <c r="E8" s="3">
        <f t="shared" si="2"/>
        <v>153919.91999999998</v>
      </c>
      <c r="F8" s="3">
        <f>D8*'Schedule-G'!F$17</f>
        <v>1984</v>
      </c>
      <c r="G8" s="3">
        <f t="shared" si="3"/>
        <v>77.580604838709675</v>
      </c>
    </row>
    <row r="9" spans="1:7">
      <c r="A9" s="65">
        <v>8</v>
      </c>
      <c r="B9" s="4">
        <v>6000</v>
      </c>
      <c r="C9" s="4" t="s">
        <v>55</v>
      </c>
      <c r="D9" s="4">
        <v>1</v>
      </c>
      <c r="E9" s="3">
        <f t="shared" si="2"/>
        <v>72000</v>
      </c>
      <c r="F9" s="3">
        <f>D9*'Schedule-G'!F$17</f>
        <v>1984</v>
      </c>
      <c r="G9" s="3">
        <f t="shared" si="3"/>
        <v>36.29032258064516</v>
      </c>
    </row>
    <row r="10" spans="1:7">
      <c r="A10" s="65">
        <v>9</v>
      </c>
      <c r="B10" s="4">
        <v>6935.33</v>
      </c>
      <c r="C10" s="4" t="s">
        <v>55</v>
      </c>
      <c r="D10" s="4">
        <v>1</v>
      </c>
      <c r="E10" s="3">
        <f t="shared" ref="E10:E12" si="4">B10*D10*12</f>
        <v>83223.959999999992</v>
      </c>
      <c r="F10" s="3">
        <f>D10*'Schedule-G'!F$17</f>
        <v>1984</v>
      </c>
      <c r="G10" s="3">
        <f t="shared" ref="G10:G12" si="5">E10/F10</f>
        <v>41.947560483870966</v>
      </c>
    </row>
    <row r="11" spans="1:7">
      <c r="A11" s="65">
        <v>10</v>
      </c>
      <c r="B11" s="4">
        <v>7700</v>
      </c>
      <c r="C11" s="4" t="s">
        <v>55</v>
      </c>
      <c r="D11" s="4">
        <v>1</v>
      </c>
      <c r="E11" s="3">
        <f t="shared" si="4"/>
        <v>92400</v>
      </c>
      <c r="F11" s="3">
        <f>D11*'Schedule-G'!F$17</f>
        <v>1984</v>
      </c>
      <c r="G11" s="3">
        <f t="shared" si="5"/>
        <v>46.572580645161288</v>
      </c>
    </row>
    <row r="12" spans="1:7">
      <c r="A12" s="65">
        <v>11</v>
      </c>
      <c r="B12" s="4">
        <v>7558.33</v>
      </c>
      <c r="C12" s="4" t="s">
        <v>55</v>
      </c>
      <c r="D12" s="4">
        <v>0.8</v>
      </c>
      <c r="E12" s="3">
        <f t="shared" si="4"/>
        <v>72559.968000000008</v>
      </c>
      <c r="F12" s="3">
        <f>D12*'Schedule-G'!F$17</f>
        <v>1587.2</v>
      </c>
      <c r="G12" s="3">
        <f t="shared" si="5"/>
        <v>45.715705645161293</v>
      </c>
    </row>
    <row r="13" spans="1:7">
      <c r="A13" s="65">
        <v>12</v>
      </c>
      <c r="B13" s="4">
        <v>6666.67</v>
      </c>
      <c r="C13" s="4" t="s">
        <v>55</v>
      </c>
      <c r="D13" s="4">
        <v>1</v>
      </c>
      <c r="E13" s="3">
        <f t="shared" ref="E13" si="6">B13*D13*12</f>
        <v>80000.040000000008</v>
      </c>
      <c r="F13" s="3">
        <f>D13*'Schedule-G'!F$17</f>
        <v>1984</v>
      </c>
      <c r="G13" s="3">
        <f t="shared" ref="G13" si="7">E13/F13</f>
        <v>40.322600806451618</v>
      </c>
    </row>
    <row r="15" spans="1:7">
      <c r="E15" s="3">
        <f>SUM(E2:E13)</f>
        <v>940696.96799999999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0"/>
  <sheetViews>
    <sheetView workbookViewId="0">
      <selection activeCell="I2" sqref="I2"/>
    </sheetView>
  </sheetViews>
  <sheetFormatPr defaultRowHeight="15"/>
  <cols>
    <col min="1" max="1" width="9.140625" style="4"/>
    <col min="2" max="2" width="10.140625" style="14" bestFit="1" customWidth="1"/>
    <col min="3" max="4" width="11.28515625" style="14" customWidth="1"/>
    <col min="5" max="5" width="10.28515625" style="8" customWidth="1"/>
    <col min="6" max="6" width="14" style="3" customWidth="1"/>
    <col min="7" max="7" width="10.140625" style="3" customWidth="1"/>
    <col min="8" max="8" width="9.140625" style="3"/>
    <col min="9" max="9" width="11" style="3" customWidth="1"/>
    <col min="10" max="10" width="11.85546875" style="3" customWidth="1"/>
    <col min="11" max="11" width="9.140625" style="8"/>
    <col min="12" max="12" width="13.5703125" customWidth="1"/>
    <col min="13" max="13" width="12.7109375" customWidth="1"/>
  </cols>
  <sheetData>
    <row r="1" spans="1:14">
      <c r="A1" s="60" t="s">
        <v>61</v>
      </c>
      <c r="B1" s="16"/>
      <c r="C1" s="16"/>
      <c r="D1" s="16"/>
    </row>
    <row r="2" spans="1:14" s="27" customFormat="1" ht="75">
      <c r="A2" s="23" t="s">
        <v>21</v>
      </c>
      <c r="B2" s="24" t="s">
        <v>52</v>
      </c>
      <c r="C2" s="24" t="s">
        <v>53</v>
      </c>
      <c r="D2" s="24" t="s">
        <v>57</v>
      </c>
      <c r="E2" s="25" t="s">
        <v>54</v>
      </c>
      <c r="F2" s="26" t="s">
        <v>56</v>
      </c>
      <c r="G2" s="26" t="s">
        <v>58</v>
      </c>
      <c r="H2" s="26" t="s">
        <v>59</v>
      </c>
      <c r="I2" s="77" t="s">
        <v>112</v>
      </c>
      <c r="J2" s="26" t="s">
        <v>60</v>
      </c>
      <c r="K2" s="25" t="s">
        <v>102</v>
      </c>
    </row>
    <row r="3" spans="1:14" s="44" customFormat="1">
      <c r="F3" s="45"/>
      <c r="G3" s="45"/>
      <c r="H3" s="45"/>
      <c r="I3" s="45"/>
      <c r="J3" s="45"/>
      <c r="K3" s="46"/>
      <c r="N3" s="59">
        <v>0.21391685917822337</v>
      </c>
    </row>
    <row r="4" spans="1:14" s="44" customFormat="1">
      <c r="A4" s="69">
        <v>5</v>
      </c>
      <c r="B4" s="44">
        <v>6250</v>
      </c>
      <c r="C4" s="44" t="s">
        <v>55</v>
      </c>
      <c r="D4" s="44">
        <v>1</v>
      </c>
      <c r="E4" s="44">
        <v>206.05</v>
      </c>
      <c r="F4" s="45">
        <f>B4*12*D4</f>
        <v>75000</v>
      </c>
      <c r="G4" s="45">
        <f>E4*12</f>
        <v>2472.6000000000004</v>
      </c>
      <c r="H4" s="45">
        <f>IF(F4&gt;106800,6621,0.062*F4)</f>
        <v>4650</v>
      </c>
      <c r="I4" s="45">
        <f>F4*0.0625</f>
        <v>4687.5</v>
      </c>
      <c r="J4" s="45">
        <f>I4+H4+G4</f>
        <v>11810.1</v>
      </c>
      <c r="K4" s="46">
        <f>J4/F4</f>
        <v>0.157468</v>
      </c>
      <c r="N4" s="74">
        <f>N5</f>
        <v>0.17385388906403443</v>
      </c>
    </row>
    <row r="5" spans="1:14" s="44" customFormat="1">
      <c r="A5" s="69">
        <v>7</v>
      </c>
      <c r="B5" s="44">
        <v>12826.66</v>
      </c>
      <c r="C5" s="44" t="s">
        <v>55</v>
      </c>
      <c r="D5" s="44">
        <v>1</v>
      </c>
      <c r="E5" s="44">
        <v>819.88</v>
      </c>
      <c r="F5" s="45">
        <f>B5*12*D5</f>
        <v>153919.91999999998</v>
      </c>
      <c r="G5" s="45">
        <f>E5*12</f>
        <v>9838.56</v>
      </c>
      <c r="H5" s="45">
        <f>IF(F5&gt;106800,6621,0.062*F5)</f>
        <v>6621</v>
      </c>
      <c r="I5" s="45">
        <f>F5*0.0625</f>
        <v>9619.994999999999</v>
      </c>
      <c r="J5" s="45">
        <f>I5+H5+G5</f>
        <v>26079.555</v>
      </c>
      <c r="K5" s="46">
        <f>J5/F5</f>
        <v>0.16943586639078298</v>
      </c>
      <c r="N5" s="74">
        <f t="shared" ref="N5" si="0">N6</f>
        <v>0.17385388906403443</v>
      </c>
    </row>
    <row r="6" spans="1:14" s="44" customFormat="1">
      <c r="A6" s="69">
        <v>8</v>
      </c>
      <c r="B6" s="44">
        <v>6000</v>
      </c>
      <c r="C6" s="44" t="s">
        <v>55</v>
      </c>
      <c r="D6" s="44">
        <v>1</v>
      </c>
      <c r="E6" s="44">
        <v>198.25</v>
      </c>
      <c r="F6" s="45">
        <f>B6*12*D6</f>
        <v>72000</v>
      </c>
      <c r="G6" s="45">
        <f>E6*12</f>
        <v>2379</v>
      </c>
      <c r="H6" s="45">
        <f>IF(F6&gt;106800,6621,0.062*F6)</f>
        <v>4464</v>
      </c>
      <c r="I6" s="45">
        <f>F6*0.0625</f>
        <v>4500</v>
      </c>
      <c r="J6" s="45">
        <f>I6+H6+G6</f>
        <v>11343</v>
      </c>
      <c r="K6" s="46">
        <f>J6/F6</f>
        <v>0.15754166666666666</v>
      </c>
      <c r="N6" s="74">
        <f>N7</f>
        <v>0.17385388906403443</v>
      </c>
    </row>
    <row r="7" spans="1:14" s="44" customFormat="1">
      <c r="A7" s="69">
        <v>11</v>
      </c>
      <c r="B7" s="44">
        <v>7558.33</v>
      </c>
      <c r="C7" s="44" t="s">
        <v>55</v>
      </c>
      <c r="D7" s="44">
        <v>0.8</v>
      </c>
      <c r="E7" s="44">
        <v>555.38</v>
      </c>
      <c r="F7" s="45">
        <f>B7*12*D7</f>
        <v>72559.967999999993</v>
      </c>
      <c r="G7" s="45">
        <f>E7*12</f>
        <v>6664.5599999999995</v>
      </c>
      <c r="H7" s="45">
        <f>IF(F7&gt;106800,6621,0.062*F7)</f>
        <v>4498.7180159999998</v>
      </c>
      <c r="I7" s="45">
        <f>F7*0.0625</f>
        <v>4534.9979999999996</v>
      </c>
      <c r="J7" s="45">
        <f>I7+H7+G7</f>
        <v>15698.276015999998</v>
      </c>
      <c r="K7" s="46">
        <f>J7/F7</f>
        <v>0.21634899309768163</v>
      </c>
      <c r="N7" s="74">
        <f>N8</f>
        <v>0.17385388906403443</v>
      </c>
    </row>
    <row r="8" spans="1:14" s="44" customFormat="1">
      <c r="F8" s="45"/>
      <c r="G8" s="45"/>
      <c r="H8" s="45"/>
      <c r="I8" s="45"/>
      <c r="J8" s="45"/>
      <c r="K8" s="46"/>
      <c r="L8" s="45">
        <f>SUM(F3:F8)</f>
        <v>373479.88799999998</v>
      </c>
      <c r="M8" s="45">
        <f>SUM(J3:J8)</f>
        <v>64930.931015999995</v>
      </c>
      <c r="N8" s="46">
        <f>M8/L8</f>
        <v>0.17385388906403443</v>
      </c>
    </row>
    <row r="9" spans="1:14" s="47" customFormat="1">
      <c r="A9" s="70">
        <v>3</v>
      </c>
      <c r="B9" s="47">
        <v>5191.67</v>
      </c>
      <c r="C9" s="47" t="s">
        <v>55</v>
      </c>
      <c r="D9" s="47">
        <v>1</v>
      </c>
      <c r="E9" s="47">
        <v>681.86</v>
      </c>
      <c r="F9" s="48">
        <f t="shared" ref="F9" si="1">B9*12*D9</f>
        <v>62300.04</v>
      </c>
      <c r="G9" s="48">
        <f t="shared" ref="G9" si="2">E9*12</f>
        <v>8182.32</v>
      </c>
      <c r="H9" s="48">
        <f t="shared" ref="H9" si="3">IF(F9&gt;106800,6621,0.062*F9)</f>
        <v>3862.60248</v>
      </c>
      <c r="I9" s="48">
        <f t="shared" ref="I9" si="4">F9*0.0625</f>
        <v>3893.7525000000001</v>
      </c>
      <c r="J9" s="48">
        <f t="shared" ref="J9" si="5">I9+H9+G9</f>
        <v>15938.67498</v>
      </c>
      <c r="K9" s="49">
        <f t="shared" ref="K9" si="6">J9/F9</f>
        <v>0.25583731535324855</v>
      </c>
      <c r="N9" s="49">
        <f t="shared" ref="N9" si="7">N10</f>
        <v>0.26474520937278029</v>
      </c>
    </row>
    <row r="10" spans="1:14" s="47" customFormat="1">
      <c r="A10" s="70">
        <v>1</v>
      </c>
      <c r="B10" s="47">
        <v>7916.67</v>
      </c>
      <c r="C10" s="47" t="s">
        <v>55</v>
      </c>
      <c r="D10" s="47">
        <v>1</v>
      </c>
      <c r="E10" s="47">
        <v>1224.5899999999999</v>
      </c>
      <c r="F10" s="48">
        <f>B10*12*D10</f>
        <v>95000.040000000008</v>
      </c>
      <c r="G10" s="48">
        <f>E10*12</f>
        <v>14695.079999999998</v>
      </c>
      <c r="H10" s="48">
        <f>IF(F10&gt;106800,6621,0.062*F10)</f>
        <v>5890.0024800000001</v>
      </c>
      <c r="I10" s="48">
        <f>F10*0.0625</f>
        <v>5937.5025000000005</v>
      </c>
      <c r="J10" s="48">
        <f>I10+H10+G10</f>
        <v>26522.58498</v>
      </c>
      <c r="K10" s="49">
        <f>J10/F10</f>
        <v>0.27918498750105786</v>
      </c>
      <c r="N10" s="71">
        <f>N11</f>
        <v>0.26474520937278029</v>
      </c>
    </row>
    <row r="11" spans="1:14" s="47" customFormat="1">
      <c r="A11" s="70">
        <v>10</v>
      </c>
      <c r="B11" s="47">
        <v>7700</v>
      </c>
      <c r="C11" s="47" t="s">
        <v>55</v>
      </c>
      <c r="D11" s="47">
        <v>1</v>
      </c>
      <c r="E11" s="47">
        <v>1011.82</v>
      </c>
      <c r="F11" s="48">
        <f>B11*12*D11</f>
        <v>92400</v>
      </c>
      <c r="G11" s="48">
        <f>E11*12</f>
        <v>12141.84</v>
      </c>
      <c r="H11" s="48">
        <f>IF(F11&gt;106800,6621,0.062*F11)</f>
        <v>5728.8</v>
      </c>
      <c r="I11" s="48">
        <f>F11*0.0625</f>
        <v>5775</v>
      </c>
      <c r="J11" s="48">
        <f>I11+H11+G11</f>
        <v>23645.64</v>
      </c>
      <c r="K11" s="49">
        <f>J11/F11</f>
        <v>0.2559051948051948</v>
      </c>
      <c r="N11" s="71">
        <f>N12</f>
        <v>0.26474520937278029</v>
      </c>
    </row>
    <row r="12" spans="1:14" s="47" customFormat="1">
      <c r="F12" s="48"/>
      <c r="G12" s="48"/>
      <c r="H12" s="48"/>
      <c r="I12" s="48"/>
      <c r="J12" s="48"/>
      <c r="K12" s="49"/>
      <c r="L12" s="48">
        <f>SUM(F9:F12)</f>
        <v>249700.08000000002</v>
      </c>
      <c r="M12" s="48">
        <f>SUM(J9:J12)</f>
        <v>66106.899959999995</v>
      </c>
      <c r="N12" s="56">
        <f>M12/L12</f>
        <v>0.26474520937278029</v>
      </c>
    </row>
    <row r="13" spans="1:14" s="50" customFormat="1">
      <c r="A13" s="73">
        <v>9</v>
      </c>
      <c r="B13" s="50">
        <v>6935.33</v>
      </c>
      <c r="C13" s="50" t="s">
        <v>55</v>
      </c>
      <c r="D13" s="50">
        <v>1</v>
      </c>
      <c r="E13" s="50">
        <v>1601.61</v>
      </c>
      <c r="F13" s="51">
        <f t="shared" ref="F13" si="8">B13*12*D13</f>
        <v>83223.959999999992</v>
      </c>
      <c r="G13" s="51">
        <f t="shared" ref="G13" si="9">E13*12</f>
        <v>19219.32</v>
      </c>
      <c r="H13" s="51">
        <f t="shared" ref="H13" si="10">IF(F13&gt;106800,6621,0.062*F13)</f>
        <v>5159.8855199999998</v>
      </c>
      <c r="I13" s="51">
        <f t="shared" ref="I13" si="11">F13*0.0625</f>
        <v>5201.4974999999995</v>
      </c>
      <c r="J13" s="51">
        <f t="shared" ref="J13" si="12">I13+H13+G13</f>
        <v>29580.703020000001</v>
      </c>
      <c r="K13" s="52">
        <f t="shared" ref="K13" si="13">J13/F13</f>
        <v>0.35543493748675264</v>
      </c>
      <c r="N13" s="72">
        <f>N14</f>
        <v>0.36277109241456756</v>
      </c>
    </row>
    <row r="14" spans="1:14" s="50" customFormat="1">
      <c r="A14" s="73">
        <v>4</v>
      </c>
      <c r="B14" s="50">
        <v>4849.42</v>
      </c>
      <c r="C14" s="50" t="s">
        <v>55</v>
      </c>
      <c r="D14" s="50">
        <v>1</v>
      </c>
      <c r="E14" s="50">
        <v>1126.82</v>
      </c>
      <c r="F14" s="51">
        <f>B14*12*D14</f>
        <v>58193.04</v>
      </c>
      <c r="G14" s="51">
        <f>E14*12</f>
        <v>13521.84</v>
      </c>
      <c r="H14" s="51">
        <f>IF(F14&gt;106800,6621,0.062*F14)</f>
        <v>3607.96848</v>
      </c>
      <c r="I14" s="51">
        <f>F14*0.0625</f>
        <v>3637.0650000000001</v>
      </c>
      <c r="J14" s="51">
        <f>I14+H14+G14</f>
        <v>20766.873480000002</v>
      </c>
      <c r="K14" s="52">
        <f>J14/F14</f>
        <v>0.35686180821624031</v>
      </c>
      <c r="N14" s="52">
        <f>N15</f>
        <v>0.36277109241456756</v>
      </c>
    </row>
    <row r="15" spans="1:14" s="50" customFormat="1">
      <c r="A15" s="73">
        <v>12</v>
      </c>
      <c r="B15" s="50">
        <v>6666.67</v>
      </c>
      <c r="C15" s="50" t="s">
        <v>55</v>
      </c>
      <c r="D15" s="50">
        <v>1</v>
      </c>
      <c r="E15" s="50">
        <v>1668.01</v>
      </c>
      <c r="F15" s="51">
        <f>B15*12*D15</f>
        <v>80000.040000000008</v>
      </c>
      <c r="G15" s="51">
        <f>E15*12</f>
        <v>20016.12</v>
      </c>
      <c r="H15" s="51">
        <f>IF(F15&gt;106800,6621,0.062*F15)</f>
        <v>4960.0024800000001</v>
      </c>
      <c r="I15" s="51">
        <f>F15*0.0625</f>
        <v>5000.0025000000005</v>
      </c>
      <c r="J15" s="51">
        <f>I15+H15+G15</f>
        <v>29976.124980000001</v>
      </c>
      <c r="K15" s="52">
        <f>J15/F15</f>
        <v>0.37470137489931254</v>
      </c>
      <c r="L15" s="51">
        <f>SUM(F13:F15)</f>
        <v>221417.04</v>
      </c>
      <c r="M15" s="51">
        <f>SUM(J13:J15)</f>
        <v>80323.701480000003</v>
      </c>
      <c r="N15" s="57">
        <f>M15/L15</f>
        <v>0.36277109241456756</v>
      </c>
    </row>
    <row r="16" spans="1:14" s="53" customFormat="1">
      <c r="A16" s="73">
        <v>2</v>
      </c>
      <c r="B16" s="53">
        <v>3675</v>
      </c>
      <c r="C16" s="53" t="s">
        <v>55</v>
      </c>
      <c r="D16" s="53">
        <v>1</v>
      </c>
      <c r="E16" s="53">
        <v>1225.02</v>
      </c>
      <c r="F16" s="54">
        <f t="shared" ref="F16:F17" si="14">B16*12*D16</f>
        <v>44100</v>
      </c>
      <c r="G16" s="54">
        <f t="shared" ref="G16:G17" si="15">E16*12</f>
        <v>14700.24</v>
      </c>
      <c r="H16" s="54">
        <f t="shared" ref="H16:H17" si="16">IF(F16&gt;106800,6621,0.062*F16)</f>
        <v>2734.2</v>
      </c>
      <c r="I16" s="54">
        <f t="shared" ref="I16:I17" si="17">F16*0.0625</f>
        <v>2756.25</v>
      </c>
      <c r="J16" s="54">
        <f t="shared" ref="J16:J17" si="18">I16+H16+G16</f>
        <v>20190.689999999999</v>
      </c>
      <c r="K16" s="55">
        <f t="shared" ref="K16:K17" si="19">J16/F16</f>
        <v>0.45783877551020408</v>
      </c>
      <c r="N16" s="55">
        <f t="shared" ref="N16" si="20">N17</f>
        <v>0.46400399146888299</v>
      </c>
    </row>
    <row r="17" spans="1:14" s="53" customFormat="1">
      <c r="A17" s="73">
        <v>6</v>
      </c>
      <c r="B17" s="53">
        <v>4333.33</v>
      </c>
      <c r="C17" s="53" t="s">
        <v>55</v>
      </c>
      <c r="D17" s="53">
        <v>1</v>
      </c>
      <c r="E17" s="53">
        <v>1493.84</v>
      </c>
      <c r="F17" s="54">
        <f t="shared" si="14"/>
        <v>51999.96</v>
      </c>
      <c r="G17" s="54">
        <f t="shared" si="15"/>
        <v>17926.079999999998</v>
      </c>
      <c r="H17" s="54">
        <f t="shared" si="16"/>
        <v>3223.9975199999999</v>
      </c>
      <c r="I17" s="54">
        <f t="shared" si="17"/>
        <v>3249.9974999999999</v>
      </c>
      <c r="J17" s="54">
        <f t="shared" si="18"/>
        <v>24400.075019999997</v>
      </c>
      <c r="K17" s="55">
        <f t="shared" si="19"/>
        <v>0.46923257287120984</v>
      </c>
      <c r="N17" s="55">
        <f>N18</f>
        <v>0.46400399146888299</v>
      </c>
    </row>
    <row r="18" spans="1:14" s="53" customFormat="1">
      <c r="F18" s="54"/>
      <c r="G18" s="54"/>
      <c r="H18" s="54"/>
      <c r="I18" s="54"/>
      <c r="J18" s="54"/>
      <c r="K18" s="55"/>
      <c r="L18" s="54">
        <f>SUM(F16:F18)</f>
        <v>96099.959999999992</v>
      </c>
      <c r="M18" s="54">
        <f>SUM(J16:J18)</f>
        <v>44590.765019999992</v>
      </c>
      <c r="N18" s="58">
        <f>M18/L18</f>
        <v>0.46400399146888299</v>
      </c>
    </row>
    <row r="19" spans="1:14">
      <c r="A19" s="67"/>
      <c r="B19" s="68"/>
      <c r="C19" s="68"/>
      <c r="D19" s="68"/>
    </row>
    <row r="20" spans="1:14">
      <c r="A20" s="67"/>
      <c r="B20" s="68"/>
      <c r="C20" s="68"/>
      <c r="D20" s="68"/>
      <c r="F20" s="3">
        <f>SUM(F3:F18)</f>
        <v>940696.96799999999</v>
      </c>
      <c r="J20" s="3">
        <f>SUM(J3:J18)</f>
        <v>255952.29747600001</v>
      </c>
      <c r="K20" s="8">
        <f>J20/F20</f>
        <v>0.27208793711770529</v>
      </c>
    </row>
    <row r="21" spans="1:14">
      <c r="A21" s="67"/>
      <c r="B21" s="68"/>
      <c r="C21" s="68"/>
      <c r="D21" s="68"/>
    </row>
    <row r="22" spans="1:14">
      <c r="A22" s="67"/>
      <c r="B22" s="68"/>
      <c r="C22" s="68"/>
      <c r="D22" s="68"/>
      <c r="J22" s="3" t="s">
        <v>103</v>
      </c>
      <c r="K22" s="8">
        <f>STDEV(K3:K18)</f>
        <v>0.11024020185379367</v>
      </c>
    </row>
    <row r="23" spans="1:14">
      <c r="A23" s="67"/>
      <c r="B23" s="68"/>
      <c r="C23" s="68"/>
      <c r="D23" s="68"/>
    </row>
    <row r="24" spans="1:14">
      <c r="A24"/>
      <c r="B24"/>
      <c r="C24"/>
      <c r="D24"/>
      <c r="E24"/>
      <c r="F24"/>
      <c r="G24"/>
      <c r="H24"/>
      <c r="I24"/>
      <c r="J24"/>
      <c r="K24"/>
    </row>
    <row r="25" spans="1:14">
      <c r="A25"/>
      <c r="B25"/>
      <c r="C25"/>
      <c r="D25"/>
      <c r="E25"/>
      <c r="F25"/>
      <c r="G25"/>
      <c r="H25"/>
      <c r="I25"/>
      <c r="J25"/>
      <c r="K25"/>
    </row>
    <row r="26" spans="1:14">
      <c r="A26" s="67"/>
      <c r="B26" s="68"/>
      <c r="C26" s="68"/>
      <c r="D26" s="68"/>
    </row>
    <row r="27" spans="1:14">
      <c r="A27" s="67"/>
      <c r="B27" s="68"/>
      <c r="C27" s="68"/>
      <c r="D27" s="68"/>
    </row>
    <row r="28" spans="1:14">
      <c r="A28" s="67"/>
      <c r="B28" s="68"/>
      <c r="C28" s="68"/>
      <c r="D28" s="68"/>
    </row>
    <row r="29" spans="1:14">
      <c r="A29" s="67"/>
      <c r="B29" s="68"/>
      <c r="C29" s="68"/>
      <c r="D29" s="68"/>
    </row>
    <row r="30" spans="1:14">
      <c r="A30" s="67"/>
      <c r="B30" s="68"/>
      <c r="C30" s="68"/>
      <c r="D30" s="68"/>
    </row>
    <row r="31" spans="1:14">
      <c r="A31" s="67"/>
      <c r="B31" s="68"/>
      <c r="C31" s="68"/>
      <c r="D31" s="68"/>
    </row>
    <row r="32" spans="1:14">
      <c r="A32" s="67"/>
      <c r="B32" s="68"/>
      <c r="C32" s="68"/>
      <c r="D32" s="68"/>
    </row>
    <row r="33" spans="1:4">
      <c r="A33" s="67"/>
      <c r="B33" s="68"/>
      <c r="C33" s="68"/>
      <c r="D33" s="68"/>
    </row>
    <row r="34" spans="1:4">
      <c r="A34" s="67"/>
      <c r="B34" s="68"/>
      <c r="C34" s="68"/>
      <c r="D34" s="68"/>
    </row>
    <row r="35" spans="1:4">
      <c r="A35" s="67"/>
      <c r="B35" s="68"/>
      <c r="C35" s="68"/>
      <c r="D35" s="68"/>
    </row>
    <row r="36" spans="1:4">
      <c r="A36" s="67"/>
      <c r="B36" s="68"/>
      <c r="C36" s="68"/>
      <c r="D36" s="68"/>
    </row>
    <row r="37" spans="1:4">
      <c r="A37" s="67"/>
      <c r="B37" s="68"/>
      <c r="C37" s="68"/>
      <c r="D37" s="68"/>
    </row>
    <row r="38" spans="1:4">
      <c r="A38" s="67"/>
      <c r="B38" s="68"/>
      <c r="C38" s="68"/>
      <c r="D38" s="68"/>
    </row>
    <row r="39" spans="1:4">
      <c r="A39" s="67"/>
      <c r="B39" s="68"/>
      <c r="C39" s="68"/>
      <c r="D39" s="68"/>
    </row>
    <row r="40" spans="1:4">
      <c r="A40" s="67"/>
      <c r="B40" s="68"/>
      <c r="C40" s="68"/>
      <c r="D40" s="68"/>
    </row>
    <row r="41" spans="1:4">
      <c r="A41" s="67"/>
      <c r="B41" s="68"/>
      <c r="C41" s="68"/>
      <c r="D41" s="68"/>
    </row>
    <row r="42" spans="1:4">
      <c r="A42" s="67"/>
      <c r="B42" s="68"/>
      <c r="C42" s="68"/>
      <c r="D42" s="68"/>
    </row>
    <row r="43" spans="1:4">
      <c r="A43" s="67"/>
      <c r="B43" s="68"/>
      <c r="C43" s="68"/>
      <c r="D43" s="68"/>
    </row>
    <row r="44" spans="1:4">
      <c r="A44" s="67"/>
      <c r="B44" s="68"/>
      <c r="C44" s="68"/>
      <c r="D44" s="68"/>
    </row>
    <row r="45" spans="1:4">
      <c r="A45" s="67"/>
      <c r="B45" s="68"/>
      <c r="C45" s="68"/>
      <c r="D45" s="68"/>
    </row>
    <row r="46" spans="1:4">
      <c r="A46" s="67"/>
      <c r="B46" s="68"/>
      <c r="C46" s="68"/>
      <c r="D46" s="68"/>
    </row>
    <row r="47" spans="1:4">
      <c r="A47" s="67"/>
      <c r="B47" s="68"/>
      <c r="C47" s="68"/>
      <c r="D47" s="68"/>
    </row>
    <row r="48" spans="1:4">
      <c r="A48" s="67"/>
      <c r="B48" s="68"/>
      <c r="C48" s="68"/>
      <c r="D48" s="68"/>
    </row>
    <row r="49" spans="1:4">
      <c r="A49" s="67"/>
      <c r="B49" s="68"/>
      <c r="C49" s="68"/>
      <c r="D49" s="68"/>
    </row>
    <row r="50" spans="1:4">
      <c r="A50" s="67"/>
      <c r="B50" s="68"/>
      <c r="C50" s="68"/>
      <c r="D50" s="6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22"/>
  <sheetViews>
    <sheetView workbookViewId="0">
      <selection activeCell="A7" sqref="A7:A18"/>
    </sheetView>
  </sheetViews>
  <sheetFormatPr defaultRowHeight="15"/>
  <cols>
    <col min="1" max="1" width="15.42578125" style="4" customWidth="1"/>
    <col min="2" max="2" width="13.28515625" style="5" customWidth="1"/>
    <col min="3" max="3" width="11.140625" style="5" customWidth="1"/>
    <col min="4" max="4" width="11.28515625" style="5" customWidth="1"/>
    <col min="5" max="5" width="11.7109375" style="5" customWidth="1"/>
    <col min="6" max="6" width="9.140625" style="4"/>
    <col min="7" max="7" width="11.28515625" style="4" customWidth="1"/>
    <col min="8" max="8" width="11.85546875" style="1" customWidth="1"/>
    <col min="9" max="9" width="11.28515625" style="1" customWidth="1"/>
    <col min="10" max="10" width="11.85546875" customWidth="1"/>
    <col min="13" max="13" width="11.140625" style="3" customWidth="1"/>
  </cols>
  <sheetData>
    <row r="2" spans="1:13" s="35" customFormat="1">
      <c r="A2" s="6" t="s">
        <v>0</v>
      </c>
      <c r="B2" s="7"/>
      <c r="C2" s="7"/>
      <c r="D2" s="7"/>
      <c r="E2" s="7"/>
      <c r="F2" s="6"/>
      <c r="G2" s="6"/>
      <c r="H2" s="2"/>
      <c r="I2" s="2"/>
      <c r="M2" s="30"/>
    </row>
    <row r="3" spans="1:13">
      <c r="A3" s="4" t="s">
        <v>13</v>
      </c>
    </row>
    <row r="5" spans="1:13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6" t="s">
        <v>6</v>
      </c>
      <c r="G5" s="6" t="s">
        <v>11</v>
      </c>
      <c r="H5" s="2" t="s">
        <v>7</v>
      </c>
      <c r="I5" s="2" t="s">
        <v>8</v>
      </c>
      <c r="J5" t="s">
        <v>10</v>
      </c>
      <c r="K5" t="s">
        <v>9</v>
      </c>
      <c r="L5" t="s">
        <v>12</v>
      </c>
      <c r="M5" s="3" t="s">
        <v>84</v>
      </c>
    </row>
    <row r="7" spans="1:13">
      <c r="A7" s="65">
        <v>1</v>
      </c>
      <c r="B7" s="5">
        <v>40322</v>
      </c>
      <c r="C7" s="5">
        <v>39630</v>
      </c>
      <c r="D7" s="5">
        <v>65381</v>
      </c>
      <c r="E7" s="5">
        <v>40359</v>
      </c>
      <c r="F7" s="4">
        <v>8</v>
      </c>
      <c r="G7" s="4">
        <v>0</v>
      </c>
      <c r="H7" s="1">
        <f t="shared" ref="H7:H18" si="0">IF(B7&lt;C7,C7,B7)</f>
        <v>40322</v>
      </c>
      <c r="I7" s="1">
        <f t="shared" ref="I7:I18" si="1">IF(D7&gt;E7,E7,D7)</f>
        <v>40359</v>
      </c>
      <c r="J7">
        <f t="shared" ref="J7:J18" si="2">DAYS360(H7,I7)</f>
        <v>36</v>
      </c>
      <c r="K7">
        <f t="shared" ref="K7:K18" si="3">J7/360</f>
        <v>0.1</v>
      </c>
      <c r="L7">
        <f t="shared" ref="L7:L18" si="4">G7/K7</f>
        <v>0</v>
      </c>
      <c r="M7" s="3">
        <f>VLOOKUP(A7,RateSummary!A$3:G$14,7,FALSE)*L7*1.17</f>
        <v>0</v>
      </c>
    </row>
    <row r="8" spans="1:13">
      <c r="A8" s="65">
        <v>2</v>
      </c>
      <c r="B8" s="5">
        <v>37622</v>
      </c>
      <c r="C8" s="5">
        <v>39630</v>
      </c>
      <c r="D8" s="5">
        <v>65381</v>
      </c>
      <c r="E8" s="5">
        <v>40359</v>
      </c>
      <c r="F8" s="4">
        <v>212</v>
      </c>
      <c r="G8" s="4">
        <v>-261</v>
      </c>
      <c r="H8" s="1">
        <f t="shared" si="0"/>
        <v>39630</v>
      </c>
      <c r="I8" s="1">
        <f t="shared" si="1"/>
        <v>40359</v>
      </c>
      <c r="J8">
        <f t="shared" si="2"/>
        <v>719</v>
      </c>
      <c r="K8">
        <f t="shared" si="3"/>
        <v>1.9972222222222222</v>
      </c>
      <c r="L8">
        <f t="shared" si="4"/>
        <v>-130.68150208623086</v>
      </c>
      <c r="M8" s="3">
        <f>VLOOKUP(A8,RateSummary!A$3:G$14,7,FALSE)*L8*1.17</f>
        <v>-3398.5753342455914</v>
      </c>
    </row>
    <row r="9" spans="1:13">
      <c r="A9" s="65">
        <v>3</v>
      </c>
      <c r="B9" s="5">
        <v>39265</v>
      </c>
      <c r="C9" s="5">
        <v>39630</v>
      </c>
      <c r="D9" s="5">
        <v>65381</v>
      </c>
      <c r="E9" s="5">
        <v>40359</v>
      </c>
      <c r="F9" s="4">
        <v>224</v>
      </c>
      <c r="G9" s="4">
        <v>-16</v>
      </c>
      <c r="H9" s="1">
        <f t="shared" si="0"/>
        <v>39630</v>
      </c>
      <c r="I9" s="1">
        <f t="shared" si="1"/>
        <v>40359</v>
      </c>
      <c r="J9">
        <f t="shared" si="2"/>
        <v>719</v>
      </c>
      <c r="K9">
        <f t="shared" si="3"/>
        <v>1.9972222222222222</v>
      </c>
      <c r="L9">
        <f t="shared" si="4"/>
        <v>-8.0111265646731571</v>
      </c>
      <c r="M9" s="3">
        <f>VLOOKUP(A9,RateSummary!A$3:G$14,7,FALSE)*L9*1.17</f>
        <v>-294.32429503342456</v>
      </c>
    </row>
    <row r="10" spans="1:13">
      <c r="A10" s="65">
        <v>4</v>
      </c>
      <c r="B10" s="5">
        <v>35916</v>
      </c>
      <c r="C10" s="5">
        <v>39630</v>
      </c>
      <c r="D10" s="5">
        <v>65381</v>
      </c>
      <c r="E10" s="5">
        <v>40359</v>
      </c>
      <c r="F10" s="4">
        <v>224</v>
      </c>
      <c r="G10" s="4">
        <v>-118</v>
      </c>
      <c r="H10" s="1">
        <f t="shared" si="0"/>
        <v>39630</v>
      </c>
      <c r="I10" s="1">
        <f t="shared" si="1"/>
        <v>40359</v>
      </c>
      <c r="J10">
        <f t="shared" si="2"/>
        <v>719</v>
      </c>
      <c r="K10">
        <f t="shared" si="3"/>
        <v>1.9972222222222222</v>
      </c>
      <c r="L10">
        <f t="shared" si="4"/>
        <v>-59.082058414464534</v>
      </c>
      <c r="M10" s="3">
        <f>VLOOKUP(A10,RateSummary!A$3:G$14,7,FALSE)*L10*1.17</f>
        <v>-2027.5466575889452</v>
      </c>
    </row>
    <row r="11" spans="1:13">
      <c r="A11" s="65">
        <v>5</v>
      </c>
      <c r="B11" s="5">
        <v>39531</v>
      </c>
      <c r="C11" s="5">
        <v>39630</v>
      </c>
      <c r="D11" s="5">
        <v>65381</v>
      </c>
      <c r="E11" s="5">
        <v>40359</v>
      </c>
      <c r="F11" s="4">
        <v>198</v>
      </c>
      <c r="G11" s="4">
        <v>-64</v>
      </c>
      <c r="H11" s="1">
        <f t="shared" si="0"/>
        <v>39630</v>
      </c>
      <c r="I11" s="1">
        <f t="shared" si="1"/>
        <v>40359</v>
      </c>
      <c r="J11">
        <f t="shared" si="2"/>
        <v>719</v>
      </c>
      <c r="K11">
        <f t="shared" si="3"/>
        <v>1.9972222222222222</v>
      </c>
      <c r="L11">
        <f t="shared" si="4"/>
        <v>-32.044506258692628</v>
      </c>
      <c r="M11" s="3">
        <f>VLOOKUP(A11,RateSummary!A$3:G$14,7,FALSE)*L11*1.17</f>
        <v>-1417.2910404235274</v>
      </c>
    </row>
    <row r="12" spans="1:13">
      <c r="A12" s="65">
        <v>6</v>
      </c>
      <c r="B12" s="5">
        <v>36578</v>
      </c>
      <c r="C12" s="5">
        <v>39630</v>
      </c>
      <c r="D12" s="5">
        <v>65381</v>
      </c>
      <c r="E12" s="5">
        <v>40359</v>
      </c>
      <c r="F12" s="4">
        <v>222</v>
      </c>
      <c r="G12" s="4">
        <v>-32</v>
      </c>
      <c r="H12" s="1">
        <f t="shared" si="0"/>
        <v>39630</v>
      </c>
      <c r="I12" s="1">
        <f t="shared" si="1"/>
        <v>40359</v>
      </c>
      <c r="J12">
        <f t="shared" si="2"/>
        <v>719</v>
      </c>
      <c r="K12">
        <f t="shared" si="3"/>
        <v>1.9972222222222222</v>
      </c>
      <c r="L12">
        <f t="shared" si="4"/>
        <v>-16.022253129346314</v>
      </c>
      <c r="M12" s="3">
        <f>VLOOKUP(A12,RateSummary!A$3:G$14,7,FALSE)*L12*1.17</f>
        <v>-491.32718273587864</v>
      </c>
    </row>
    <row r="13" spans="1:13">
      <c r="A13" s="65">
        <v>7</v>
      </c>
      <c r="B13" s="5">
        <v>36507</v>
      </c>
      <c r="C13" s="5">
        <v>39630</v>
      </c>
      <c r="D13" s="5">
        <v>65381</v>
      </c>
      <c r="E13" s="5">
        <v>40359</v>
      </c>
      <c r="F13" s="4">
        <v>224</v>
      </c>
      <c r="G13" s="4">
        <v>-57.6</v>
      </c>
      <c r="H13" s="1">
        <f t="shared" si="0"/>
        <v>39630</v>
      </c>
      <c r="I13" s="1">
        <f t="shared" si="1"/>
        <v>40359</v>
      </c>
      <c r="J13">
        <f t="shared" si="2"/>
        <v>719</v>
      </c>
      <c r="K13">
        <f t="shared" si="3"/>
        <v>1.9972222222222222</v>
      </c>
      <c r="L13">
        <f t="shared" si="4"/>
        <v>-28.840055632823365</v>
      </c>
      <c r="M13" s="3">
        <f>VLOOKUP(A13,RateSummary!A$3:G$14,7,FALSE)*L13*1.17</f>
        <v>-2617.7918827044728</v>
      </c>
    </row>
    <row r="14" spans="1:13">
      <c r="A14" s="65">
        <v>8</v>
      </c>
      <c r="B14" s="5">
        <v>38428</v>
      </c>
      <c r="C14" s="5">
        <v>39630</v>
      </c>
      <c r="D14" s="5">
        <v>65381</v>
      </c>
      <c r="E14" s="5">
        <v>40359</v>
      </c>
      <c r="F14" s="4">
        <v>224</v>
      </c>
      <c r="G14" s="4">
        <v>-64</v>
      </c>
      <c r="H14" s="1">
        <f t="shared" si="0"/>
        <v>39630</v>
      </c>
      <c r="I14" s="1">
        <f t="shared" si="1"/>
        <v>40359</v>
      </c>
      <c r="J14">
        <f t="shared" si="2"/>
        <v>719</v>
      </c>
      <c r="K14">
        <f t="shared" si="3"/>
        <v>1.9972222222222222</v>
      </c>
      <c r="L14">
        <f t="shared" si="4"/>
        <v>-32.044506258692628</v>
      </c>
      <c r="M14" s="3">
        <f>VLOOKUP(A14,RateSummary!A$3:G$14,7,FALSE)*L14*1.17</f>
        <v>-1360.5993988065859</v>
      </c>
    </row>
    <row r="15" spans="1:13">
      <c r="A15" s="65">
        <v>9</v>
      </c>
      <c r="B15" s="5">
        <v>38656</v>
      </c>
      <c r="C15" s="5">
        <v>39630</v>
      </c>
      <c r="D15" s="5">
        <v>65381</v>
      </c>
      <c r="E15" s="5">
        <v>40359</v>
      </c>
      <c r="F15" s="4">
        <v>224</v>
      </c>
      <c r="G15" s="4">
        <v>-56</v>
      </c>
      <c r="H15" s="1">
        <f t="shared" si="0"/>
        <v>39630</v>
      </c>
      <c r="I15" s="1">
        <f t="shared" si="1"/>
        <v>40359</v>
      </c>
      <c r="J15">
        <f t="shared" si="2"/>
        <v>719</v>
      </c>
      <c r="K15">
        <f t="shared" si="3"/>
        <v>1.9972222222222222</v>
      </c>
      <c r="L15">
        <f t="shared" si="4"/>
        <v>-28.038942976356051</v>
      </c>
      <c r="M15" s="3">
        <f>VLOOKUP(A15,RateSummary!A$3:G$14,7,FALSE)*L15*1.17</f>
        <v>-1376.11334999327</v>
      </c>
    </row>
    <row r="16" spans="1:13">
      <c r="A16" s="65">
        <v>10</v>
      </c>
      <c r="B16" s="5">
        <v>37453</v>
      </c>
      <c r="C16" s="5">
        <v>39630</v>
      </c>
      <c r="D16" s="5">
        <v>65381</v>
      </c>
      <c r="E16" s="5">
        <v>40359</v>
      </c>
      <c r="F16" s="4">
        <v>224</v>
      </c>
      <c r="G16" s="4">
        <v>-32</v>
      </c>
      <c r="H16" s="1">
        <f t="shared" si="0"/>
        <v>39630</v>
      </c>
      <c r="I16" s="1">
        <f t="shared" si="1"/>
        <v>40359</v>
      </c>
      <c r="J16">
        <f t="shared" si="2"/>
        <v>719</v>
      </c>
      <c r="K16">
        <f t="shared" si="3"/>
        <v>1.9972222222222222</v>
      </c>
      <c r="L16">
        <f t="shared" si="4"/>
        <v>-16.022253129346314</v>
      </c>
      <c r="M16" s="3">
        <f>VLOOKUP(A16,RateSummary!A$3:G$14,7,FALSE)*L16*1.17</f>
        <v>-873.05128090089272</v>
      </c>
    </row>
    <row r="17" spans="1:15">
      <c r="A17" s="65">
        <v>11</v>
      </c>
      <c r="B17" s="5">
        <v>37591</v>
      </c>
      <c r="C17" s="5">
        <v>39630</v>
      </c>
      <c r="D17" s="5">
        <v>65381</v>
      </c>
      <c r="E17" s="5">
        <v>40359</v>
      </c>
      <c r="F17" s="4">
        <v>153</v>
      </c>
      <c r="G17" s="4">
        <v>-107.2</v>
      </c>
      <c r="H17" s="1">
        <f t="shared" si="0"/>
        <v>39630</v>
      </c>
      <c r="I17" s="1">
        <f t="shared" si="1"/>
        <v>40359</v>
      </c>
      <c r="J17">
        <f t="shared" si="2"/>
        <v>719</v>
      </c>
      <c r="K17">
        <f t="shared" si="3"/>
        <v>1.9972222222222222</v>
      </c>
      <c r="L17">
        <f t="shared" si="4"/>
        <v>-53.674547983310156</v>
      </c>
      <c r="M17" s="3">
        <f>VLOOKUP(A17,RateSummary!A$3:G$14,7,FALSE)*L17*1.17</f>
        <v>-2870.9107084032485</v>
      </c>
    </row>
    <row r="18" spans="1:15">
      <c r="A18" s="65">
        <v>12</v>
      </c>
      <c r="B18" s="5">
        <v>39387</v>
      </c>
      <c r="C18" s="5">
        <v>39630</v>
      </c>
      <c r="D18" s="5">
        <v>65381</v>
      </c>
      <c r="E18" s="5">
        <v>40359</v>
      </c>
      <c r="F18" s="4">
        <v>199</v>
      </c>
      <c r="G18" s="4">
        <v>-24</v>
      </c>
      <c r="H18" s="1">
        <f t="shared" si="0"/>
        <v>39630</v>
      </c>
      <c r="I18" s="1">
        <f t="shared" si="1"/>
        <v>40359</v>
      </c>
      <c r="J18">
        <f t="shared" si="2"/>
        <v>719</v>
      </c>
      <c r="K18">
        <f t="shared" si="3"/>
        <v>1.9972222222222222</v>
      </c>
      <c r="L18">
        <f t="shared" si="4"/>
        <v>-12.016689847009737</v>
      </c>
      <c r="M18" s="3">
        <f>VLOOKUP(A18,RateSummary!A$3:G$14,7,FALSE)*L18*1.17</f>
        <v>-566.9166996276191</v>
      </c>
    </row>
    <row r="21" spans="1:15">
      <c r="J21" t="s">
        <v>47</v>
      </c>
      <c r="L21">
        <f>AVERAGE(L6:L19)</f>
        <v>-34.70653685674548</v>
      </c>
      <c r="M21" s="3">
        <f>SUM(M6:M19)</f>
        <v>-17294.447830463454</v>
      </c>
      <c r="O21" s="8">
        <f>-M21/'Schedule-B'!F20</f>
        <v>1.8384717309372103E-2</v>
      </c>
    </row>
    <row r="22" spans="1:15">
      <c r="J22" t="s">
        <v>48</v>
      </c>
      <c r="L22">
        <f>L21/8</f>
        <v>-4.338317107093185</v>
      </c>
    </row>
  </sheetData>
  <sortState ref="A7:O18">
    <sortCondition ref="A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A5" sqref="A5:A16"/>
    </sheetView>
  </sheetViews>
  <sheetFormatPr defaultRowHeight="15"/>
  <cols>
    <col min="1" max="1" width="10.7109375" customWidth="1"/>
    <col min="2" max="2" width="10.42578125" customWidth="1"/>
    <col min="3" max="3" width="9.7109375" customWidth="1"/>
    <col min="4" max="4" width="11.28515625" customWidth="1"/>
    <col min="5" max="5" width="11.28515625" style="10" customWidth="1"/>
    <col min="6" max="6" width="10" customWidth="1"/>
    <col min="9" max="9" width="13.85546875" style="3" customWidth="1"/>
    <col min="10" max="10" width="12" style="9" customWidth="1"/>
  </cols>
  <sheetData>
    <row r="1" spans="1:10">
      <c r="A1" t="s">
        <v>50</v>
      </c>
      <c r="B1">
        <v>16</v>
      </c>
    </row>
    <row r="2" spans="1:10">
      <c r="A2" t="s">
        <v>51</v>
      </c>
    </row>
    <row r="4" spans="1:10">
      <c r="A4" t="s">
        <v>14</v>
      </c>
      <c r="B4" t="s">
        <v>15</v>
      </c>
      <c r="F4" t="s">
        <v>16</v>
      </c>
      <c r="G4" t="s">
        <v>17</v>
      </c>
      <c r="H4" t="s">
        <v>18</v>
      </c>
      <c r="I4" s="3" t="s">
        <v>19</v>
      </c>
      <c r="J4" s="9" t="s">
        <v>42</v>
      </c>
    </row>
    <row r="5" spans="1:10">
      <c r="A5" s="63">
        <v>1</v>
      </c>
      <c r="B5" s="1">
        <v>40322</v>
      </c>
      <c r="C5" s="1">
        <v>40360</v>
      </c>
      <c r="D5" s="1">
        <v>40724</v>
      </c>
      <c r="E5" s="10">
        <v>7916.67</v>
      </c>
      <c r="F5">
        <f t="shared" ref="F5:F16" si="0">YEARFRAC(C5,B5)</f>
        <v>0.10277777777777777</v>
      </c>
      <c r="G5">
        <f t="shared" ref="G5:G16" si="1">YEARFRAC(D5,B5)</f>
        <v>1.1000000000000001</v>
      </c>
      <c r="H5">
        <f t="shared" ref="H5:H16" si="2">(F5+G5)/2</f>
        <v>0.60138888888888897</v>
      </c>
      <c r="I5" s="3">
        <f t="shared" ref="I5:I16" si="3">TRUNC(IF(H5&gt;B$1,B$1,H5))</f>
        <v>0</v>
      </c>
      <c r="J5" s="9">
        <f t="shared" ref="J5:J16" si="4">I5*(E5/4.33)*1.17</f>
        <v>0</v>
      </c>
    </row>
    <row r="6" spans="1:10">
      <c r="A6" s="63">
        <v>2</v>
      </c>
      <c r="B6" s="1">
        <v>37622</v>
      </c>
      <c r="C6" s="1">
        <v>40360</v>
      </c>
      <c r="D6" s="1">
        <v>40724</v>
      </c>
      <c r="E6" s="10">
        <v>3675</v>
      </c>
      <c r="F6">
        <f t="shared" si="0"/>
        <v>7.5</v>
      </c>
      <c r="G6">
        <f t="shared" si="1"/>
        <v>8.4972222222222218</v>
      </c>
      <c r="H6">
        <f t="shared" si="2"/>
        <v>7.9986111111111109</v>
      </c>
      <c r="I6" s="3">
        <f t="shared" si="3"/>
        <v>7</v>
      </c>
      <c r="J6" s="9">
        <f t="shared" si="4"/>
        <v>6951.0969976905308</v>
      </c>
    </row>
    <row r="7" spans="1:10">
      <c r="A7" s="63">
        <v>3</v>
      </c>
      <c r="B7" s="1">
        <v>38646</v>
      </c>
      <c r="C7" s="1">
        <v>40360</v>
      </c>
      <c r="D7" s="1">
        <v>40724</v>
      </c>
      <c r="E7" s="10">
        <v>5191.67</v>
      </c>
      <c r="F7">
        <f t="shared" si="0"/>
        <v>4.6944444444444446</v>
      </c>
      <c r="G7">
        <f t="shared" si="1"/>
        <v>5.6916666666666664</v>
      </c>
      <c r="H7">
        <f t="shared" si="2"/>
        <v>5.1930555555555555</v>
      </c>
      <c r="I7" s="3">
        <f t="shared" si="3"/>
        <v>5</v>
      </c>
      <c r="J7" s="9">
        <f t="shared" si="4"/>
        <v>7014.15</v>
      </c>
    </row>
    <row r="8" spans="1:10">
      <c r="A8" s="63">
        <v>4</v>
      </c>
      <c r="B8" s="1">
        <v>34634</v>
      </c>
      <c r="C8" s="1">
        <v>40360</v>
      </c>
      <c r="D8" s="1">
        <v>40724</v>
      </c>
      <c r="E8" s="10">
        <v>4849.42</v>
      </c>
      <c r="F8">
        <f t="shared" si="0"/>
        <v>15.677777777777777</v>
      </c>
      <c r="G8">
        <f t="shared" si="1"/>
        <v>16.675000000000001</v>
      </c>
      <c r="H8">
        <f t="shared" si="2"/>
        <v>16.176388888888887</v>
      </c>
      <c r="I8" s="3">
        <f t="shared" si="3"/>
        <v>16</v>
      </c>
      <c r="J8" s="9">
        <f t="shared" si="4"/>
        <v>20965.621801385681</v>
      </c>
    </row>
    <row r="9" spans="1:10">
      <c r="A9" s="63">
        <v>5</v>
      </c>
      <c r="B9" s="1">
        <v>39392</v>
      </c>
      <c r="C9" s="1">
        <v>40360</v>
      </c>
      <c r="D9" s="1">
        <v>40724</v>
      </c>
      <c r="E9" s="10">
        <v>6250</v>
      </c>
      <c r="F9">
        <f t="shared" si="0"/>
        <v>2.6527777777777777</v>
      </c>
      <c r="G9">
        <f t="shared" si="1"/>
        <v>3.65</v>
      </c>
      <c r="H9">
        <f t="shared" si="2"/>
        <v>3.1513888888888886</v>
      </c>
      <c r="I9" s="3">
        <f t="shared" si="3"/>
        <v>3</v>
      </c>
      <c r="J9" s="9">
        <f t="shared" si="4"/>
        <v>5066.3972286374128</v>
      </c>
    </row>
    <row r="10" spans="1:10">
      <c r="A10" s="63">
        <v>6</v>
      </c>
      <c r="B10" s="1">
        <v>36578</v>
      </c>
      <c r="C10" s="1">
        <v>40360</v>
      </c>
      <c r="D10" s="1">
        <v>40724</v>
      </c>
      <c r="E10" s="10">
        <v>4333.33</v>
      </c>
      <c r="F10">
        <f t="shared" si="0"/>
        <v>10.358333333333333</v>
      </c>
      <c r="G10">
        <f t="shared" si="1"/>
        <v>11.355555555555556</v>
      </c>
      <c r="H10">
        <f t="shared" si="2"/>
        <v>10.856944444444444</v>
      </c>
      <c r="I10" s="3">
        <f t="shared" si="3"/>
        <v>10</v>
      </c>
      <c r="J10" s="9">
        <f t="shared" si="4"/>
        <v>11708.997921478058</v>
      </c>
    </row>
    <row r="11" spans="1:10">
      <c r="A11" s="63">
        <v>7</v>
      </c>
      <c r="B11" s="1">
        <v>36130</v>
      </c>
      <c r="C11" s="1">
        <v>40360</v>
      </c>
      <c r="D11" s="1">
        <v>40724</v>
      </c>
      <c r="E11" s="10">
        <v>12826.66</v>
      </c>
      <c r="F11">
        <f t="shared" si="0"/>
        <v>11.583333333333334</v>
      </c>
      <c r="G11">
        <f t="shared" si="1"/>
        <v>12.580555555555556</v>
      </c>
      <c r="H11">
        <f t="shared" si="2"/>
        <v>12.081944444444446</v>
      </c>
      <c r="I11" s="3">
        <f t="shared" si="3"/>
        <v>12</v>
      </c>
      <c r="J11" s="9">
        <f t="shared" si="4"/>
        <v>41590.370993071585</v>
      </c>
    </row>
    <row r="12" spans="1:10">
      <c r="A12" s="63">
        <v>8</v>
      </c>
      <c r="B12" s="1">
        <v>38428</v>
      </c>
      <c r="C12" s="1">
        <v>40360</v>
      </c>
      <c r="D12" s="1">
        <v>40724</v>
      </c>
      <c r="E12" s="10">
        <v>6000</v>
      </c>
      <c r="F12">
        <f t="shared" si="0"/>
        <v>5.2888888888888888</v>
      </c>
      <c r="G12">
        <f t="shared" si="1"/>
        <v>6.2861111111111114</v>
      </c>
      <c r="H12">
        <f t="shared" si="2"/>
        <v>5.7874999999999996</v>
      </c>
      <c r="I12" s="3">
        <f t="shared" si="3"/>
        <v>5</v>
      </c>
      <c r="J12" s="9">
        <f t="shared" si="4"/>
        <v>8106.2355658198603</v>
      </c>
    </row>
    <row r="13" spans="1:10">
      <c r="A13" s="63">
        <v>9</v>
      </c>
      <c r="B13" s="1">
        <v>34881</v>
      </c>
      <c r="C13" s="1">
        <v>40360</v>
      </c>
      <c r="D13" s="1">
        <v>40724</v>
      </c>
      <c r="E13" s="10">
        <v>6935.33</v>
      </c>
      <c r="F13">
        <f t="shared" si="0"/>
        <v>15</v>
      </c>
      <c r="G13">
        <f t="shared" si="1"/>
        <v>15.997222222222222</v>
      </c>
      <c r="H13">
        <f t="shared" si="2"/>
        <v>15.49861111111111</v>
      </c>
      <c r="I13" s="3">
        <f t="shared" si="3"/>
        <v>15</v>
      </c>
      <c r="J13" s="9">
        <f t="shared" si="4"/>
        <v>28109.709353348728</v>
      </c>
    </row>
    <row r="14" spans="1:10">
      <c r="A14" s="63">
        <v>10</v>
      </c>
      <c r="B14" s="1">
        <v>38566</v>
      </c>
      <c r="C14" s="1">
        <v>40360</v>
      </c>
      <c r="D14" s="1">
        <v>40724</v>
      </c>
      <c r="E14" s="10">
        <v>7700</v>
      </c>
      <c r="F14">
        <f t="shared" si="0"/>
        <v>4.9138888888888888</v>
      </c>
      <c r="G14">
        <f t="shared" si="1"/>
        <v>5.9111111111111114</v>
      </c>
      <c r="H14">
        <f t="shared" si="2"/>
        <v>5.4124999999999996</v>
      </c>
      <c r="I14" s="3">
        <f t="shared" si="3"/>
        <v>5</v>
      </c>
      <c r="J14" s="9">
        <f t="shared" si="4"/>
        <v>10403.00230946882</v>
      </c>
    </row>
    <row r="15" spans="1:10">
      <c r="A15" s="63">
        <v>11</v>
      </c>
      <c r="B15" s="1">
        <v>37591</v>
      </c>
      <c r="C15" s="1">
        <v>40360</v>
      </c>
      <c r="D15" s="1">
        <v>40724</v>
      </c>
      <c r="E15" s="10">
        <v>7558.33</v>
      </c>
      <c r="F15">
        <f t="shared" si="0"/>
        <v>7.583333333333333</v>
      </c>
      <c r="G15">
        <f t="shared" si="1"/>
        <v>8.5805555555555557</v>
      </c>
      <c r="H15">
        <f t="shared" si="2"/>
        <v>8.0819444444444439</v>
      </c>
      <c r="I15" s="3">
        <f t="shared" si="3"/>
        <v>8</v>
      </c>
      <c r="J15" s="9">
        <f t="shared" si="4"/>
        <v>16338.560923787527</v>
      </c>
    </row>
    <row r="16" spans="1:10">
      <c r="A16" s="63">
        <v>12</v>
      </c>
      <c r="B16" s="1">
        <v>39387</v>
      </c>
      <c r="C16" s="1">
        <v>40360</v>
      </c>
      <c r="D16" s="1">
        <v>40724</v>
      </c>
      <c r="E16" s="10">
        <v>6666.67</v>
      </c>
      <c r="F16">
        <f t="shared" si="0"/>
        <v>2.6666666666666665</v>
      </c>
      <c r="G16">
        <f t="shared" si="1"/>
        <v>3.6638888888888888</v>
      </c>
      <c r="H16">
        <f t="shared" si="2"/>
        <v>3.1652777777777779</v>
      </c>
      <c r="I16" s="3">
        <f t="shared" si="3"/>
        <v>3</v>
      </c>
      <c r="J16" s="9">
        <f t="shared" si="4"/>
        <v>5404.1597459584291</v>
      </c>
    </row>
    <row r="18" spans="1:10">
      <c r="J18" s="9">
        <f>AVERAGE(J5:J16)</f>
        <v>13471.525236720552</v>
      </c>
    </row>
    <row r="19" spans="1:10">
      <c r="A19" s="63" t="s">
        <v>109</v>
      </c>
      <c r="D19" s="19">
        <v>4</v>
      </c>
    </row>
    <row r="20" spans="1:10">
      <c r="A20" t="s">
        <v>43</v>
      </c>
      <c r="D20">
        <v>0.4</v>
      </c>
      <c r="F20" t="s">
        <v>44</v>
      </c>
      <c r="J20" s="9">
        <f>J18*D20</f>
        <v>5388.6100946882216</v>
      </c>
    </row>
    <row r="22" spans="1:10">
      <c r="A22" t="s">
        <v>45</v>
      </c>
      <c r="D22" s="9">
        <f>'Schedule-A'!E15</f>
        <v>940696.96799999999</v>
      </c>
      <c r="F22" t="s">
        <v>46</v>
      </c>
      <c r="J22" s="21">
        <f>J20/D22</f>
        <v>5.728316639677127E-3</v>
      </c>
    </row>
  </sheetData>
  <sortState ref="A5:J195">
    <sortCondition ref="A5:A19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A11" sqref="A11"/>
    </sheetView>
  </sheetViews>
  <sheetFormatPr defaultRowHeight="15"/>
  <cols>
    <col min="3" max="3" width="12.5703125" customWidth="1"/>
    <col min="4" max="4" width="10.5703125" style="3" customWidth="1"/>
    <col min="6" max="6" width="11.5703125" customWidth="1"/>
  </cols>
  <sheetData>
    <row r="1" spans="1:6">
      <c r="C1" s="10">
        <v>1498.43</v>
      </c>
    </row>
    <row r="2" spans="1:6" ht="30">
      <c r="A2" t="s">
        <v>21</v>
      </c>
      <c r="B2" t="s">
        <v>72</v>
      </c>
      <c r="C2" s="27" t="s">
        <v>73</v>
      </c>
      <c r="D2" s="3" t="s">
        <v>74</v>
      </c>
      <c r="F2" t="s">
        <v>75</v>
      </c>
    </row>
    <row r="3" spans="1:6">
      <c r="A3" s="67">
        <v>2</v>
      </c>
      <c r="B3" s="67">
        <v>1</v>
      </c>
      <c r="C3" s="10">
        <f t="shared" ref="C3" si="0">B3*C$1</f>
        <v>1498.43</v>
      </c>
      <c r="D3" s="3">
        <f>C3/('Schedule-G'!F$17*'Schedule-E'!B3)</f>
        <v>0.7552570564516129</v>
      </c>
      <c r="F3" s="10">
        <v>187</v>
      </c>
    </row>
    <row r="4" spans="1:6">
      <c r="A4" s="67">
        <v>4</v>
      </c>
      <c r="B4" s="67">
        <v>1</v>
      </c>
      <c r="C4" s="10">
        <f t="shared" ref="C4:C11" si="1">B4*C$1</f>
        <v>1498.43</v>
      </c>
      <c r="D4" s="64">
        <f>C4/('Schedule-G'!F$17*'Schedule-E'!B4)</f>
        <v>0.7552570564516129</v>
      </c>
    </row>
    <row r="5" spans="1:6">
      <c r="A5" s="67">
        <v>6</v>
      </c>
      <c r="B5" s="67">
        <v>1</v>
      </c>
      <c r="C5" s="10">
        <f t="shared" si="1"/>
        <v>1498.43</v>
      </c>
      <c r="D5" s="64">
        <f>C5/('Schedule-G'!F$17*'Schedule-E'!B5)</f>
        <v>0.7552570564516129</v>
      </c>
      <c r="F5" t="s">
        <v>76</v>
      </c>
    </row>
    <row r="6" spans="1:6" ht="14.25" customHeight="1">
      <c r="A6" s="67">
        <v>7</v>
      </c>
      <c r="B6" s="67">
        <v>1</v>
      </c>
      <c r="C6" s="10">
        <f t="shared" si="1"/>
        <v>1498.43</v>
      </c>
      <c r="D6" s="64">
        <f>C6/('Schedule-G'!F$17*'Schedule-E'!B6)</f>
        <v>0.7552570564516129</v>
      </c>
      <c r="F6" s="10">
        <v>1068</v>
      </c>
    </row>
    <row r="7" spans="1:6">
      <c r="A7" s="67">
        <v>8</v>
      </c>
      <c r="B7" s="67">
        <v>1</v>
      </c>
      <c r="C7" s="10">
        <f t="shared" si="1"/>
        <v>1498.43</v>
      </c>
      <c r="D7" s="64">
        <f>C7/('Schedule-G'!F$17*'Schedule-E'!B7)</f>
        <v>0.7552570564516129</v>
      </c>
    </row>
    <row r="8" spans="1:6">
      <c r="A8" s="67">
        <v>9</v>
      </c>
      <c r="B8" s="67">
        <v>1</v>
      </c>
      <c r="C8" s="10">
        <f t="shared" si="1"/>
        <v>1498.43</v>
      </c>
      <c r="D8" s="64">
        <f>C8/('Schedule-G'!F$17*'Schedule-E'!B8)</f>
        <v>0.7552570564516129</v>
      </c>
    </row>
    <row r="9" spans="1:6">
      <c r="A9" s="67">
        <v>10</v>
      </c>
      <c r="B9" s="67">
        <v>1</v>
      </c>
      <c r="C9" s="10">
        <f t="shared" si="1"/>
        <v>1498.43</v>
      </c>
      <c r="D9" s="64">
        <f>C9/('Schedule-G'!F$17*'Schedule-E'!B9)</f>
        <v>0.7552570564516129</v>
      </c>
    </row>
    <row r="10" spans="1:6" s="63" customFormat="1">
      <c r="A10" s="67">
        <v>11</v>
      </c>
      <c r="B10" s="67">
        <v>1</v>
      </c>
      <c r="C10" s="66">
        <f t="shared" si="1"/>
        <v>1498.43</v>
      </c>
      <c r="D10" s="64">
        <f>C10/('Schedule-G'!F$17*'Schedule-E'!B10)</f>
        <v>0.7552570564516129</v>
      </c>
    </row>
    <row r="11" spans="1:6">
      <c r="A11" s="67">
        <v>12</v>
      </c>
      <c r="B11" s="67">
        <v>1</v>
      </c>
      <c r="C11" s="10">
        <f t="shared" si="1"/>
        <v>1498.43</v>
      </c>
      <c r="D11" s="64">
        <f>C11/('Schedule-G'!F$17*'Schedule-E'!B11)</f>
        <v>0.7552570564516129</v>
      </c>
    </row>
    <row r="12" spans="1:6">
      <c r="A12" s="67"/>
      <c r="B12" s="67"/>
      <c r="C12" s="66"/>
      <c r="D12" s="64"/>
    </row>
  </sheetData>
  <sortState ref="A3:D156">
    <sortCondition ref="A3:A15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B18" sqref="B18"/>
    </sheetView>
  </sheetViews>
  <sheetFormatPr defaultRowHeight="15"/>
  <sheetData>
    <row r="1" spans="1:5" ht="30">
      <c r="A1" s="75" t="s">
        <v>21</v>
      </c>
      <c r="B1" s="75" t="s">
        <v>77</v>
      </c>
      <c r="C1" s="75" t="s">
        <v>57</v>
      </c>
      <c r="D1" s="75" t="s">
        <v>78</v>
      </c>
      <c r="E1" s="33" t="s">
        <v>79</v>
      </c>
    </row>
    <row r="2" spans="1:5">
      <c r="A2" s="67">
        <v>1</v>
      </c>
      <c r="B2" s="67" t="s">
        <v>80</v>
      </c>
      <c r="C2" s="67">
        <v>1</v>
      </c>
      <c r="D2" s="67">
        <v>15</v>
      </c>
      <c r="E2">
        <f>D2*C2</f>
        <v>15</v>
      </c>
    </row>
    <row r="3" spans="1:5">
      <c r="A3" s="67">
        <v>2</v>
      </c>
      <c r="B3" s="67" t="s">
        <v>80</v>
      </c>
      <c r="C3" s="67">
        <v>1</v>
      </c>
      <c r="D3" s="67">
        <v>15</v>
      </c>
      <c r="E3">
        <f t="shared" ref="E3:E4" si="0">D3*C3</f>
        <v>15</v>
      </c>
    </row>
    <row r="4" spans="1:5">
      <c r="A4" s="67">
        <v>3</v>
      </c>
      <c r="B4" s="67" t="s">
        <v>80</v>
      </c>
      <c r="C4" s="67">
        <v>1</v>
      </c>
      <c r="D4" s="67">
        <v>15</v>
      </c>
      <c r="E4">
        <f t="shared" si="0"/>
        <v>15</v>
      </c>
    </row>
    <row r="5" spans="1:5">
      <c r="A5" s="67">
        <v>4</v>
      </c>
      <c r="B5" s="67" t="s">
        <v>81</v>
      </c>
      <c r="C5" s="67">
        <v>1</v>
      </c>
      <c r="D5" s="67">
        <v>21</v>
      </c>
      <c r="E5">
        <f t="shared" ref="E5:E9" si="1">D5*C5</f>
        <v>21</v>
      </c>
    </row>
    <row r="6" spans="1:5">
      <c r="A6" s="67">
        <v>5</v>
      </c>
      <c r="B6" s="67" t="s">
        <v>80</v>
      </c>
      <c r="C6" s="67">
        <v>1</v>
      </c>
      <c r="D6" s="67">
        <v>15</v>
      </c>
      <c r="E6">
        <f t="shared" si="1"/>
        <v>15</v>
      </c>
    </row>
    <row r="7" spans="1:5">
      <c r="A7" s="67">
        <v>6</v>
      </c>
      <c r="B7" s="67" t="s">
        <v>80</v>
      </c>
      <c r="C7" s="67">
        <v>1</v>
      </c>
      <c r="D7" s="67">
        <v>15</v>
      </c>
      <c r="E7">
        <f t="shared" si="1"/>
        <v>15</v>
      </c>
    </row>
    <row r="8" spans="1:5">
      <c r="A8" s="67">
        <v>7</v>
      </c>
      <c r="B8" s="67" t="s">
        <v>82</v>
      </c>
      <c r="C8" s="67">
        <v>1</v>
      </c>
      <c r="D8" s="67">
        <v>24</v>
      </c>
      <c r="E8">
        <f t="shared" si="1"/>
        <v>24</v>
      </c>
    </row>
    <row r="9" spans="1:5">
      <c r="A9" s="67">
        <v>8</v>
      </c>
      <c r="B9" s="67" t="s">
        <v>81</v>
      </c>
      <c r="C9" s="67">
        <v>1</v>
      </c>
      <c r="D9" s="67">
        <v>21</v>
      </c>
      <c r="E9">
        <f t="shared" si="1"/>
        <v>21</v>
      </c>
    </row>
    <row r="10" spans="1:5">
      <c r="A10" s="67">
        <v>9</v>
      </c>
      <c r="B10" s="67" t="s">
        <v>82</v>
      </c>
      <c r="C10" s="67">
        <v>1</v>
      </c>
      <c r="D10" s="67">
        <v>24</v>
      </c>
      <c r="E10">
        <f t="shared" ref="E10:E12" si="2">D10*C10</f>
        <v>24</v>
      </c>
    </row>
    <row r="11" spans="1:5">
      <c r="A11" s="67">
        <v>10</v>
      </c>
      <c r="B11" s="67" t="s">
        <v>81</v>
      </c>
      <c r="C11" s="67">
        <v>1</v>
      </c>
      <c r="D11" s="67">
        <v>21</v>
      </c>
      <c r="E11">
        <f t="shared" si="2"/>
        <v>21</v>
      </c>
    </row>
    <row r="12" spans="1:5">
      <c r="A12" s="67">
        <v>11</v>
      </c>
      <c r="B12" s="67" t="s">
        <v>81</v>
      </c>
      <c r="C12" s="67">
        <v>0.8</v>
      </c>
      <c r="D12" s="67">
        <v>21</v>
      </c>
      <c r="E12">
        <f t="shared" si="2"/>
        <v>16.8</v>
      </c>
    </row>
    <row r="13" spans="1:5">
      <c r="A13" s="67">
        <v>12</v>
      </c>
      <c r="B13" s="67" t="s">
        <v>80</v>
      </c>
      <c r="C13" s="67">
        <v>1</v>
      </c>
      <c r="D13" s="67">
        <v>15</v>
      </c>
      <c r="E13">
        <f t="shared" ref="E13" si="3">D13*C13</f>
        <v>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A22" sqref="A21:A22"/>
    </sheetView>
  </sheetViews>
  <sheetFormatPr defaultRowHeight="15"/>
  <cols>
    <col min="1" max="1" width="22" customWidth="1"/>
    <col min="2" max="2" width="9.140625" style="9"/>
  </cols>
  <sheetData>
    <row r="1" spans="1:6">
      <c r="A1" s="8"/>
    </row>
    <row r="2" spans="1:6">
      <c r="A2" t="s">
        <v>20</v>
      </c>
      <c r="B2" s="9">
        <f>89*12</f>
        <v>1068</v>
      </c>
      <c r="C2" t="s">
        <v>26</v>
      </c>
    </row>
    <row r="3" spans="1:6">
      <c r="A3" s="63" t="s">
        <v>111</v>
      </c>
      <c r="B3" s="9">
        <f>187+1498</f>
        <v>1685</v>
      </c>
      <c r="D3" t="s">
        <v>28</v>
      </c>
      <c r="E3" t="s">
        <v>29</v>
      </c>
      <c r="F3" t="s">
        <v>30</v>
      </c>
    </row>
    <row r="4" spans="1:6">
      <c r="B4" s="18"/>
      <c r="C4" t="s">
        <v>27</v>
      </c>
      <c r="D4">
        <v>176</v>
      </c>
      <c r="E4">
        <v>8</v>
      </c>
      <c r="F4">
        <f>D4-E4</f>
        <v>168</v>
      </c>
    </row>
    <row r="5" spans="1:6">
      <c r="C5" t="s">
        <v>31</v>
      </c>
      <c r="D5">
        <v>176</v>
      </c>
      <c r="E5">
        <v>0</v>
      </c>
      <c r="F5">
        <f t="shared" ref="F5:F15" si="0">D5-E5</f>
        <v>176</v>
      </c>
    </row>
    <row r="6" spans="1:6">
      <c r="B6" s="20"/>
      <c r="C6" t="s">
        <v>32</v>
      </c>
      <c r="D6">
        <v>176</v>
      </c>
      <c r="E6">
        <v>8</v>
      </c>
      <c r="F6">
        <f t="shared" si="0"/>
        <v>168</v>
      </c>
    </row>
    <row r="7" spans="1:6">
      <c r="C7" t="s">
        <v>33</v>
      </c>
      <c r="D7">
        <v>168</v>
      </c>
      <c r="E7">
        <v>0</v>
      </c>
      <c r="F7">
        <f t="shared" si="0"/>
        <v>168</v>
      </c>
    </row>
    <row r="8" spans="1:6">
      <c r="C8" t="s">
        <v>34</v>
      </c>
      <c r="D8">
        <v>176</v>
      </c>
      <c r="E8">
        <v>24</v>
      </c>
      <c r="F8">
        <f t="shared" si="0"/>
        <v>152</v>
      </c>
    </row>
    <row r="9" spans="1:6">
      <c r="C9" t="s">
        <v>35</v>
      </c>
      <c r="D9">
        <v>184</v>
      </c>
      <c r="E9">
        <v>32</v>
      </c>
      <c r="F9">
        <f t="shared" si="0"/>
        <v>152</v>
      </c>
    </row>
    <row r="10" spans="1:6">
      <c r="C10" t="s">
        <v>36</v>
      </c>
      <c r="D10">
        <v>168</v>
      </c>
      <c r="E10">
        <v>8</v>
      </c>
      <c r="F10">
        <f t="shared" si="0"/>
        <v>160</v>
      </c>
    </row>
    <row r="11" spans="1:6">
      <c r="C11" t="s">
        <v>37</v>
      </c>
      <c r="D11">
        <v>160</v>
      </c>
      <c r="E11">
        <v>8</v>
      </c>
      <c r="F11">
        <f t="shared" si="0"/>
        <v>152</v>
      </c>
    </row>
    <row r="12" spans="1:6">
      <c r="C12" t="s">
        <v>38</v>
      </c>
      <c r="D12">
        <v>184</v>
      </c>
      <c r="E12">
        <v>8</v>
      </c>
      <c r="F12">
        <f t="shared" si="0"/>
        <v>176</v>
      </c>
    </row>
    <row r="13" spans="1:6">
      <c r="C13" t="s">
        <v>39</v>
      </c>
      <c r="D13">
        <v>168</v>
      </c>
      <c r="E13">
        <v>0</v>
      </c>
      <c r="F13">
        <f t="shared" si="0"/>
        <v>168</v>
      </c>
    </row>
    <row r="14" spans="1:6">
      <c r="C14" t="s">
        <v>40</v>
      </c>
      <c r="D14">
        <v>176</v>
      </c>
      <c r="E14">
        <v>8</v>
      </c>
      <c r="F14">
        <f t="shared" si="0"/>
        <v>168</v>
      </c>
    </row>
    <row r="15" spans="1:6">
      <c r="C15" t="s">
        <v>41</v>
      </c>
      <c r="D15">
        <v>176</v>
      </c>
      <c r="E15">
        <v>0</v>
      </c>
      <c r="F15">
        <f t="shared" si="0"/>
        <v>176</v>
      </c>
    </row>
    <row r="17" spans="4:6">
      <c r="D17" s="11">
        <f>SUM(D4:D15)</f>
        <v>2088</v>
      </c>
      <c r="E17" s="11">
        <f>SUM(E4:E15)</f>
        <v>104</v>
      </c>
      <c r="F17" s="11">
        <f>SUM(F4:F15)</f>
        <v>1984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2"/>
  <sheetViews>
    <sheetView topLeftCell="A8" workbookViewId="0">
      <selection activeCell="G17" sqref="G17"/>
    </sheetView>
  </sheetViews>
  <sheetFormatPr defaultRowHeight="15"/>
  <cols>
    <col min="1" max="1" width="9.85546875" customWidth="1"/>
    <col min="2" max="2" width="36.140625" customWidth="1"/>
    <col min="3" max="3" width="11.7109375" customWidth="1"/>
    <col min="7" max="7" width="34.140625" customWidth="1"/>
    <col min="8" max="8" width="22.85546875" customWidth="1"/>
    <col min="9" max="9" width="39.42578125" customWidth="1"/>
  </cols>
  <sheetData>
    <row r="1" spans="1:9" ht="15" customHeight="1">
      <c r="A1" s="37" t="s">
        <v>90</v>
      </c>
      <c r="B1" s="37" t="s">
        <v>91</v>
      </c>
      <c r="C1" s="38" t="s">
        <v>92</v>
      </c>
      <c r="D1" s="39"/>
      <c r="F1" s="61"/>
      <c r="G1" s="61"/>
      <c r="H1" s="41"/>
      <c r="I1" s="39"/>
    </row>
    <row r="2" spans="1:9" ht="15" customHeight="1">
      <c r="A2" s="42">
        <v>245</v>
      </c>
      <c r="B2" s="62" t="s">
        <v>107</v>
      </c>
      <c r="C2" s="41">
        <v>0</v>
      </c>
      <c r="D2" s="39"/>
      <c r="F2" s="40"/>
      <c r="G2" s="40"/>
      <c r="H2" s="41"/>
      <c r="I2" s="39"/>
    </row>
    <row r="3" spans="1:9" ht="15" customHeight="1">
      <c r="A3" s="42">
        <v>250</v>
      </c>
      <c r="B3" s="62" t="s">
        <v>107</v>
      </c>
      <c r="C3" s="41">
        <v>0</v>
      </c>
      <c r="D3" s="39"/>
      <c r="F3" s="40"/>
      <c r="G3" s="76"/>
      <c r="H3" s="41"/>
      <c r="I3" s="39"/>
    </row>
    <row r="4" spans="1:9" ht="15" customHeight="1">
      <c r="A4" s="42">
        <v>256</v>
      </c>
      <c r="B4" s="62" t="s">
        <v>107</v>
      </c>
      <c r="C4" s="41">
        <v>0</v>
      </c>
      <c r="D4" s="39"/>
      <c r="F4" s="40"/>
      <c r="G4" s="40"/>
      <c r="H4" s="41"/>
      <c r="I4" s="39"/>
    </row>
    <row r="5" spans="1:9" ht="15" customHeight="1">
      <c r="A5" s="42">
        <v>259</v>
      </c>
      <c r="B5" s="62" t="s">
        <v>107</v>
      </c>
      <c r="C5" s="41">
        <v>0</v>
      </c>
      <c r="D5" s="39"/>
      <c r="F5" s="40"/>
      <c r="G5" s="40"/>
      <c r="H5" s="41"/>
      <c r="I5" s="39"/>
    </row>
    <row r="6" spans="1:9" ht="15" customHeight="1">
      <c r="A6" s="42">
        <v>280</v>
      </c>
      <c r="B6" s="62" t="s">
        <v>107</v>
      </c>
      <c r="C6" s="41">
        <v>0</v>
      </c>
      <c r="D6" s="39"/>
      <c r="F6" s="40"/>
      <c r="G6" s="40"/>
      <c r="H6" s="41"/>
      <c r="I6" s="39"/>
    </row>
    <row r="7" spans="1:9" ht="15" customHeight="1">
      <c r="A7" s="42">
        <v>355</v>
      </c>
      <c r="B7" s="62" t="s">
        <v>107</v>
      </c>
      <c r="C7" s="41">
        <v>0</v>
      </c>
      <c r="D7" s="39"/>
      <c r="F7" s="40"/>
      <c r="G7" s="40"/>
      <c r="H7" s="41"/>
      <c r="I7" s="39"/>
    </row>
    <row r="8" spans="1:9" ht="15" customHeight="1">
      <c r="A8" s="42">
        <v>461</v>
      </c>
      <c r="B8" s="62" t="s">
        <v>107</v>
      </c>
      <c r="C8" s="41">
        <v>0</v>
      </c>
      <c r="D8" s="39"/>
      <c r="F8" s="40"/>
      <c r="G8" s="40"/>
      <c r="H8" s="41"/>
      <c r="I8" s="39"/>
    </row>
    <row r="9" spans="1:9" ht="15" customHeight="1">
      <c r="A9" s="42">
        <v>736</v>
      </c>
      <c r="B9" s="62" t="s">
        <v>107</v>
      </c>
      <c r="C9" s="41">
        <v>0</v>
      </c>
      <c r="D9" s="39"/>
      <c r="F9" s="40"/>
      <c r="G9" s="40"/>
      <c r="H9" s="41"/>
      <c r="I9" s="41"/>
    </row>
    <row r="10" spans="1:9" ht="15" customHeight="1">
      <c r="A10" s="42">
        <v>737</v>
      </c>
      <c r="B10" s="62" t="s">
        <v>107</v>
      </c>
      <c r="C10" s="41">
        <v>0</v>
      </c>
      <c r="D10" s="39"/>
      <c r="F10" s="40"/>
      <c r="G10" s="40"/>
      <c r="H10" s="41"/>
      <c r="I10" s="41"/>
    </row>
    <row r="11" spans="1:9" ht="15" customHeight="1">
      <c r="A11" s="42">
        <v>738</v>
      </c>
      <c r="B11" s="62" t="s">
        <v>107</v>
      </c>
      <c r="C11" s="41">
        <v>0</v>
      </c>
      <c r="D11" s="39"/>
      <c r="F11" s="40"/>
      <c r="G11" s="40"/>
      <c r="H11" s="41"/>
      <c r="I11" s="39"/>
    </row>
    <row r="12" spans="1:9" ht="15" customHeight="1">
      <c r="A12" s="42">
        <v>741</v>
      </c>
      <c r="B12" s="62" t="s">
        <v>107</v>
      </c>
      <c r="C12" s="41">
        <v>0</v>
      </c>
      <c r="D12" s="39"/>
      <c r="F12" s="40"/>
      <c r="G12" s="40"/>
      <c r="H12" s="41"/>
      <c r="I12" s="39"/>
    </row>
    <row r="13" spans="1:9" ht="15" customHeight="1">
      <c r="A13" s="42">
        <v>900</v>
      </c>
      <c r="B13" s="62" t="s">
        <v>107</v>
      </c>
      <c r="C13" s="41">
        <v>0</v>
      </c>
      <c r="D13" s="41" t="s">
        <v>93</v>
      </c>
      <c r="F13" s="40"/>
      <c r="G13" s="40"/>
      <c r="H13" s="41"/>
      <c r="I13" s="41"/>
    </row>
    <row r="14" spans="1:9" ht="15" customHeight="1">
      <c r="A14" s="42">
        <v>1987</v>
      </c>
      <c r="B14" s="62" t="s">
        <v>107</v>
      </c>
      <c r="C14" s="41">
        <v>0</v>
      </c>
      <c r="D14" s="41" t="s">
        <v>93</v>
      </c>
      <c r="F14" s="40"/>
      <c r="G14" s="40"/>
      <c r="H14" s="41"/>
      <c r="I14" s="41"/>
    </row>
    <row r="15" spans="1:9" ht="15" customHeight="1">
      <c r="A15" s="42">
        <v>1989</v>
      </c>
      <c r="B15" s="62" t="s">
        <v>107</v>
      </c>
      <c r="C15" s="41">
        <v>0</v>
      </c>
      <c r="D15" s="41" t="s">
        <v>93</v>
      </c>
      <c r="F15" s="40"/>
      <c r="G15" s="40"/>
      <c r="H15" s="41"/>
      <c r="I15" s="39"/>
    </row>
    <row r="16" spans="1:9" ht="15" customHeight="1">
      <c r="A16" s="42">
        <v>3252</v>
      </c>
      <c r="B16" s="62" t="s">
        <v>107</v>
      </c>
      <c r="C16" s="41">
        <v>0</v>
      </c>
      <c r="D16" s="41" t="s">
        <v>93</v>
      </c>
      <c r="F16" s="40"/>
      <c r="G16" s="40"/>
      <c r="H16" s="41"/>
      <c r="I16" s="39"/>
    </row>
    <row r="17" spans="1:9" ht="15" customHeight="1">
      <c r="A17" s="42">
        <v>3262</v>
      </c>
      <c r="B17" s="62" t="s">
        <v>107</v>
      </c>
      <c r="C17" s="41">
        <v>0</v>
      </c>
      <c r="D17" s="41" t="s">
        <v>95</v>
      </c>
      <c r="F17" s="40"/>
      <c r="G17" s="40"/>
      <c r="H17" s="41"/>
      <c r="I17" s="41"/>
    </row>
    <row r="18" spans="1:9" ht="15" customHeight="1">
      <c r="A18" s="42">
        <v>3266</v>
      </c>
      <c r="B18" s="62" t="s">
        <v>107</v>
      </c>
      <c r="C18" s="41">
        <v>0</v>
      </c>
      <c r="D18" s="41" t="s">
        <v>95</v>
      </c>
      <c r="F18" s="40"/>
      <c r="G18" s="40"/>
      <c r="H18" s="41"/>
      <c r="I18" s="39"/>
    </row>
    <row r="19" spans="1:9" ht="15" customHeight="1">
      <c r="A19" s="42">
        <v>3393</v>
      </c>
      <c r="B19" s="62" t="s">
        <v>107</v>
      </c>
      <c r="C19" s="41">
        <v>0</v>
      </c>
      <c r="D19" s="41" t="s">
        <v>93</v>
      </c>
      <c r="F19" s="40"/>
      <c r="G19" s="40"/>
      <c r="H19" s="41"/>
      <c r="I19" s="39"/>
    </row>
    <row r="20" spans="1:9" ht="15" customHeight="1">
      <c r="A20" s="42">
        <v>3395</v>
      </c>
      <c r="B20" s="62" t="s">
        <v>107</v>
      </c>
      <c r="C20" s="41">
        <v>0</v>
      </c>
      <c r="D20" s="41" t="s">
        <v>93</v>
      </c>
      <c r="F20" s="40"/>
      <c r="G20" s="40"/>
      <c r="H20" s="41"/>
      <c r="I20" s="41"/>
    </row>
    <row r="21" spans="1:9" ht="15" customHeight="1">
      <c r="A21" s="42">
        <v>4722</v>
      </c>
      <c r="B21" s="62" t="s">
        <v>107</v>
      </c>
      <c r="C21" s="41">
        <v>1</v>
      </c>
      <c r="D21" s="39"/>
      <c r="F21" s="40"/>
      <c r="G21" s="40"/>
      <c r="H21" s="41"/>
      <c r="I21" s="41"/>
    </row>
    <row r="22" spans="1:9" ht="15" customHeight="1">
      <c r="A22" s="42">
        <v>4919</v>
      </c>
      <c r="B22" s="62" t="s">
        <v>107</v>
      </c>
      <c r="C22" s="41">
        <v>1</v>
      </c>
      <c r="D22" s="41" t="s">
        <v>94</v>
      </c>
      <c r="F22" s="40"/>
      <c r="G22" s="40"/>
      <c r="H22" s="41"/>
      <c r="I22" s="39"/>
    </row>
    <row r="23" spans="1:9" ht="15" customHeight="1">
      <c r="A23" s="42">
        <v>7181</v>
      </c>
      <c r="B23" s="62" t="s">
        <v>107</v>
      </c>
      <c r="C23" s="41">
        <v>0</v>
      </c>
      <c r="D23" s="39"/>
      <c r="F23" s="40"/>
      <c r="G23" s="40"/>
      <c r="H23" s="41"/>
      <c r="I23" s="39"/>
    </row>
    <row r="24" spans="1:9" ht="15" customHeight="1">
      <c r="A24" s="42">
        <v>7211</v>
      </c>
      <c r="B24" s="62" t="s">
        <v>107</v>
      </c>
      <c r="C24" s="41">
        <v>0</v>
      </c>
      <c r="D24" s="39"/>
      <c r="F24" s="40"/>
      <c r="G24" s="40"/>
      <c r="H24" s="41"/>
      <c r="I24" s="41"/>
    </row>
    <row r="25" spans="1:9" ht="15" customHeight="1">
      <c r="A25" s="42">
        <v>7243</v>
      </c>
      <c r="B25" s="62" t="s">
        <v>107</v>
      </c>
      <c r="C25" s="41">
        <v>1</v>
      </c>
      <c r="D25" s="39"/>
      <c r="F25" s="40"/>
      <c r="G25" s="40"/>
      <c r="H25" s="41"/>
      <c r="I25" s="39"/>
    </row>
    <row r="26" spans="1:9" ht="15" customHeight="1">
      <c r="A26" s="42">
        <v>7258</v>
      </c>
      <c r="B26" s="62" t="s">
        <v>107</v>
      </c>
      <c r="C26" s="41">
        <v>1</v>
      </c>
      <c r="D26" s="39"/>
      <c r="F26" s="40"/>
      <c r="G26" s="40"/>
      <c r="H26" s="41"/>
      <c r="I26" s="39"/>
    </row>
    <row r="27" spans="1:9" ht="15" customHeight="1">
      <c r="A27" s="42">
        <v>7259</v>
      </c>
      <c r="B27" s="62" t="s">
        <v>107</v>
      </c>
      <c r="C27" s="41">
        <v>0</v>
      </c>
      <c r="D27" s="39"/>
      <c r="F27" s="40"/>
      <c r="G27" s="40"/>
      <c r="H27" s="41"/>
      <c r="I27" s="39"/>
    </row>
    <row r="28" spans="1:9" ht="15" customHeight="1">
      <c r="A28" s="42">
        <v>7274</v>
      </c>
      <c r="B28" s="62" t="s">
        <v>107</v>
      </c>
      <c r="C28" s="41">
        <v>0</v>
      </c>
      <c r="D28" s="39"/>
      <c r="F28" s="40"/>
      <c r="G28" s="40"/>
      <c r="H28" s="41"/>
      <c r="I28" s="39"/>
    </row>
    <row r="29" spans="1:9" ht="15" customHeight="1">
      <c r="A29" s="42">
        <v>7275</v>
      </c>
      <c r="B29" s="62" t="s">
        <v>107</v>
      </c>
      <c r="C29" s="41">
        <v>0</v>
      </c>
      <c r="D29" s="39"/>
      <c r="F29" s="40"/>
      <c r="G29" s="40"/>
      <c r="H29" s="41"/>
      <c r="I29" s="39"/>
    </row>
    <row r="30" spans="1:9" ht="15" customHeight="1">
      <c r="A30" s="42">
        <v>7277</v>
      </c>
      <c r="B30" s="62" t="s">
        <v>107</v>
      </c>
      <c r="C30" s="41">
        <v>1</v>
      </c>
      <c r="D30" s="39"/>
      <c r="F30" s="40"/>
      <c r="G30" s="40"/>
      <c r="H30" s="41"/>
      <c r="I30" s="39"/>
    </row>
    <row r="31" spans="1:9" ht="15" customHeight="1">
      <c r="A31" s="42">
        <v>7278</v>
      </c>
      <c r="B31" s="62" t="s">
        <v>107</v>
      </c>
      <c r="C31" s="41">
        <v>1</v>
      </c>
      <c r="D31" s="39"/>
      <c r="F31" s="40"/>
      <c r="G31" s="40"/>
      <c r="H31" s="41"/>
      <c r="I31" s="39"/>
    </row>
    <row r="32" spans="1:9" ht="15" customHeight="1">
      <c r="A32" s="42">
        <v>7646</v>
      </c>
      <c r="B32" s="62" t="s">
        <v>107</v>
      </c>
      <c r="C32" s="41">
        <v>1</v>
      </c>
      <c r="D32" s="39"/>
      <c r="F32" s="40"/>
      <c r="G32" s="40"/>
      <c r="H32" s="41"/>
      <c r="I32" s="39"/>
    </row>
    <row r="33" spans="1:9" ht="15" customHeight="1">
      <c r="A33" s="42">
        <v>7659</v>
      </c>
      <c r="B33" s="62" t="s">
        <v>107</v>
      </c>
      <c r="C33" s="41">
        <v>1</v>
      </c>
      <c r="D33" s="39"/>
      <c r="F33" s="40"/>
      <c r="G33" s="40"/>
      <c r="H33" s="41"/>
      <c r="I33" s="41"/>
    </row>
    <row r="34" spans="1:9" ht="15" customHeight="1">
      <c r="A34" s="42">
        <v>7671</v>
      </c>
      <c r="B34" s="62" t="s">
        <v>107</v>
      </c>
      <c r="C34" s="41">
        <v>0</v>
      </c>
      <c r="D34" s="39"/>
      <c r="F34" s="40"/>
      <c r="G34" s="40"/>
      <c r="H34" s="41"/>
      <c r="I34" s="39"/>
    </row>
    <row r="35" spans="1:9" ht="15" customHeight="1">
      <c r="A35" s="42">
        <v>9603</v>
      </c>
      <c r="B35" s="62" t="s">
        <v>107</v>
      </c>
      <c r="C35" s="41">
        <v>1</v>
      </c>
      <c r="D35" s="39"/>
      <c r="F35" s="40"/>
      <c r="G35" s="40"/>
      <c r="H35" s="41"/>
      <c r="I35" s="39"/>
    </row>
    <row r="36" spans="1:9" ht="15" customHeight="1"/>
    <row r="37" spans="1:9" ht="15" customHeight="1">
      <c r="B37" t="s">
        <v>59</v>
      </c>
      <c r="C37" s="21">
        <v>6.2E-2</v>
      </c>
    </row>
    <row r="38" spans="1:9" ht="15" customHeight="1">
      <c r="B38" t="s">
        <v>87</v>
      </c>
      <c r="C38" s="21">
        <v>1.4500000000000001E-2</v>
      </c>
    </row>
    <row r="39" spans="1:9" ht="15" customHeight="1">
      <c r="B39" t="s">
        <v>88</v>
      </c>
      <c r="C39" s="21">
        <v>5.7000000000000002E-3</v>
      </c>
    </row>
    <row r="40" spans="1:9" ht="15" customHeight="1">
      <c r="B40" t="s">
        <v>89</v>
      </c>
      <c r="C40" s="21">
        <v>2.3E-3</v>
      </c>
    </row>
    <row r="42" spans="1:9">
      <c r="C42" s="8">
        <f>SUM(C37:C40)</f>
        <v>8.4499999999999992E-2</v>
      </c>
    </row>
  </sheetData>
  <sortState ref="A2:D35">
    <sortCondition ref="A2:A3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RateSummary</vt:lpstr>
      <vt:lpstr>Schedule-A</vt:lpstr>
      <vt:lpstr>Schedule-B</vt:lpstr>
      <vt:lpstr>Schedule-C</vt:lpstr>
      <vt:lpstr>Schedule-D</vt:lpstr>
      <vt:lpstr>Schedule-E</vt:lpstr>
      <vt:lpstr>Schedule-F</vt:lpstr>
      <vt:lpstr>Schedule-G</vt:lpstr>
      <vt:lpstr>Non-ExemptTcodes</vt:lpstr>
      <vt:lpstr>Schedule-H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lkafader</dc:creator>
  <cp:lastModifiedBy>Business and Financial Services</cp:lastModifiedBy>
  <dcterms:created xsi:type="dcterms:W3CDTF">2010-06-18T21:51:37Z</dcterms:created>
  <dcterms:modified xsi:type="dcterms:W3CDTF">2011-05-25T22:10:44Z</dcterms:modified>
</cp:coreProperties>
</file>