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385" activeTab="0"/>
  </bookViews>
  <sheets>
    <sheet name="BW Model 2016" sheetId="1" r:id="rId1"/>
    <sheet name="Taxes" sheetId="2" r:id="rId2"/>
    <sheet name="Sheet1" sheetId="3" r:id="rId3"/>
    <sheet name="Sheet4" sheetId="4" r:id="rId4"/>
  </sheets>
  <definedNames>
    <definedName name="_403B_Flat" localSheetId="1">'Taxes'!$B$117</definedName>
    <definedName name="_403B_Flat">'BW Model 2016'!$B$118</definedName>
    <definedName name="_403B_Percent" localSheetId="1">'Taxes'!$B$118</definedName>
    <definedName name="_403B_Percent">'BW Model 2016'!$B$119</definedName>
    <definedName name="_457B_Flat" localSheetId="1">'Taxes'!$B$119</definedName>
    <definedName name="_457B_Flat">'BW Model 2016'!$B$120</definedName>
    <definedName name="_457B_Percent" localSheetId="1">'Taxes'!$B$120</definedName>
    <definedName name="_457B_Percent">'BW Model 2016'!$B$121</definedName>
    <definedName name="CA_State_Status" localSheetId="1">'Taxes'!$A$100</definedName>
    <definedName name="CA_State_Status">'BW Model 2016'!$A$101</definedName>
    <definedName name="CA_State_Status_2" localSheetId="1">'Taxes'!$B$100</definedName>
    <definedName name="CA_State_Status_2">'BW Model 2016'!$B$101</definedName>
    <definedName name="CA_State_With" localSheetId="1" comment="CA State Withholding">'Taxes'!$B$6</definedName>
    <definedName name="CA_State_With">'BW Model 2016'!$B$6</definedName>
    <definedName name="CX_Dues" localSheetId="1">'Taxes'!$A$73:$B$91</definedName>
    <definedName name="CX_Dues">'BW Model 2016'!$A$74:$B$92</definedName>
    <definedName name="Deductions_010" localSheetId="1">'Taxes'!$G$80</definedName>
    <definedName name="Deductions_010">'BW Model 2016'!$G$80</definedName>
    <definedName name="Deductions_04" localSheetId="1">'Taxes'!$F$74</definedName>
    <definedName name="Deductions_04">'BW Model 2016'!$F$75</definedName>
    <definedName name="Deductions_05" localSheetId="1">'Taxes'!$G$75</definedName>
    <definedName name="Deductions_05">'BW Model 2016'!$G$75</definedName>
    <definedName name="Deductions_06" localSheetId="1">'Taxes'!$G$76</definedName>
    <definedName name="Deductions_06">'BW Model 2016'!$G$76</definedName>
    <definedName name="Deductions_07" localSheetId="1">'Taxes'!$G$77</definedName>
    <definedName name="Deductions_07">'BW Model 2016'!$G$77</definedName>
    <definedName name="Deductions_08" localSheetId="1">'Taxes'!$G$78</definedName>
    <definedName name="Deductions_08">'BW Model 2016'!$G$78</definedName>
    <definedName name="Deductions_09" localSheetId="1">'Taxes'!$G$79</definedName>
    <definedName name="Deductions_09">'BW Model 2016'!$G$79</definedName>
    <definedName name="Deductions_1" localSheetId="1">'Taxes'!$G$71</definedName>
    <definedName name="Deductions_1">'BW Model 2016'!$G$71</definedName>
    <definedName name="Deductions_2" localSheetId="1">'Taxes'!$G$72</definedName>
    <definedName name="Deductions_2">'BW Model 2016'!$G$72</definedName>
    <definedName name="Deductions_3" localSheetId="1">'Taxes'!$G$73</definedName>
    <definedName name="Deductions_3">'BW Model 2016'!$G$73</definedName>
    <definedName name="Deductions_4" localSheetId="1">'Taxes'!$G$74</definedName>
    <definedName name="Deductions_4">'BW Model 2016'!$G$74</definedName>
    <definedName name="Deductions_9" localSheetId="1">'Taxes'!$F$79</definedName>
    <definedName name="Deductions_9">'BW Model 2016'!$F$80</definedName>
    <definedName name="DepCare_FSA" localSheetId="1">'Taxes'!$B$116</definedName>
    <definedName name="DepCare_FSA">'BW Model 2016'!$B$117</definedName>
    <definedName name="Dues_Agency" localSheetId="1" comment="list of unions dues and agency fees">'Taxes'!$A$73:$A$91</definedName>
    <definedName name="Dues_Agency">'BW Model 2016'!$A$74:$A$92</definedName>
    <definedName name="Fed_Status" localSheetId="1">'Taxes'!$A$97:$B$98</definedName>
    <definedName name="Fed_Status">'BW Model 2016'!$A$98:$B$99</definedName>
    <definedName name="Fed_Status_2" localSheetId="1">'Taxes'!$B$96</definedName>
    <definedName name="Fed_Status_2">'BW Model 2016'!$B$97</definedName>
    <definedName name="Fed_With" localSheetId="1" comment="Federal Withholding">'Taxes'!$B$4</definedName>
    <definedName name="Fed_With">'BW Model 2016'!$B$4</definedName>
    <definedName name="Federal_Allowances" localSheetId="1">'Taxes'!$B$5</definedName>
    <definedName name="Federal_Allowances">'BW Model 2016'!$B$5</definedName>
    <definedName name="Federal_Status" localSheetId="1">'Taxes'!$A$97</definedName>
    <definedName name="Federal_Status">'BW Model 2016'!$A$98</definedName>
    <definedName name="FICA_1" localSheetId="1">'Taxes'!$I$34</definedName>
    <definedName name="FICA_1">'BW Model 2016'!$I$34</definedName>
    <definedName name="Health_FSA" localSheetId="1">'Taxes'!$B$115</definedName>
    <definedName name="Health_FSA">'BW Model 2016'!$B$116</definedName>
    <definedName name="Hours_Per_Week" localSheetId="1" comment="est of hours per week as per the employee">'Taxes'!$A$3</definedName>
    <definedName name="Hours_Per_Week">'BW Model 2016'!$A$3</definedName>
    <definedName name="Hours_Worked_per_Week" localSheetId="1">'Taxes'!$B$3</definedName>
    <definedName name="Hours_Worked_per_Week">'BW Model 2016'!$B$3</definedName>
    <definedName name="Medical_Premium" localSheetId="1">'Taxes'!$B$114</definedName>
    <definedName name="Medical_Premium">'BW Model 2016'!$B$115</definedName>
    <definedName name="Medicare" localSheetId="1">'Taxes'!$B$14</definedName>
    <definedName name="Medicare">'BW Model 2016'!$B$14</definedName>
    <definedName name="Medicare_1" localSheetId="1">'Taxes'!$B$14</definedName>
    <definedName name="Medicare_1">'BW Model 2016'!$B$14</definedName>
    <definedName name="MO_Rate" localSheetId="1" comment="rate numeric ">'Taxes'!$B$2</definedName>
    <definedName name="MO_Rate">'BW Model 2016'!$B$2</definedName>
    <definedName name="Monthly_Rate" localSheetId="1" comment="monthly rate as entered by the employee.">'Taxes'!$A$2</definedName>
    <definedName name="Monthly_Rate">'BW Model 2016'!$A$2</definedName>
    <definedName name="None" localSheetId="1">'Taxes'!$B$15</definedName>
    <definedName name="None">'BW Model 2016'!$B$15</definedName>
    <definedName name="OASDI" localSheetId="1">'Taxes'!$B$13</definedName>
    <definedName name="OASDI">'BW Model 2016'!$B$13</definedName>
    <definedName name="OASDI_1" localSheetId="1">'Taxes'!$B$13</definedName>
    <definedName name="OASDI_1">'BW Model 2016'!$B$13</definedName>
    <definedName name="Parking_Pretaxed" localSheetId="1">'Taxes'!$B$121</definedName>
    <definedName name="Parking_Pretaxed">'BW Model 2016'!$B$122</definedName>
    <definedName name="_xlnm.Print_Area" localSheetId="0">'BW Model 2016'!$A$1:$J$31</definedName>
    <definedName name="_xlnm.Print_Area" localSheetId="1">'Taxes'!$A$1:$J$31</definedName>
    <definedName name="Retirement" localSheetId="1">'Taxes'!$I$34</definedName>
    <definedName name="Retirement">'BW Model 2016'!$I$34</definedName>
    <definedName name="Retirement_2" localSheetId="1">'Taxes'!$J$35</definedName>
    <definedName name="Retirement_2">'BW Model 2016'!$J$35</definedName>
    <definedName name="Retirement_Code" localSheetId="1">'Taxes'!$D$34</definedName>
    <definedName name="Retirement_Code">'BW Model 2016'!$D$34</definedName>
    <definedName name="Social_Security" localSheetId="1">'Taxes'!$J$35</definedName>
    <definedName name="Social_Security">'BW Model 2016'!$J$35</definedName>
    <definedName name="Social_Security2" localSheetId="1">'Taxes'!$J$34</definedName>
    <definedName name="Social_Security2">'BW Model 2016'!$J$34</definedName>
    <definedName name="State_Allowances" localSheetId="1">'Taxes'!$B$7</definedName>
    <definedName name="State_Allowances">'BW Model 2016'!$B$7</definedName>
    <definedName name="State_Itemized" localSheetId="1">'Taxes'!$B$8</definedName>
    <definedName name="State_Itemized">'BW Model 2016'!$B$8</definedName>
    <definedName name="State_Status" localSheetId="1">'Taxes'!$A$101:$B$103</definedName>
    <definedName name="State_Status">'BW Model 2016'!$A$102:$B$104</definedName>
    <definedName name="Transit_Pretaxed" localSheetId="1">'Taxes'!$B$123</definedName>
    <definedName name="Transit_Pretaxed">'BW Model 2016'!$B$124</definedName>
    <definedName name="Transit_Pretaxed_Use">'BW Model 2016'!$J$42</definedName>
    <definedName name="Union" localSheetId="1">'Taxes'!$A$73:$A$91</definedName>
    <definedName name="Union">'BW Model 2016'!$A$74:$A$92</definedName>
    <definedName name="Union_2" localSheetId="1">'Taxes'!#REF!</definedName>
    <definedName name="Union_2">'BW Model 2016'!#REF!</definedName>
    <definedName name="Union_Agency" localSheetId="1">'Taxes'!$G$3</definedName>
    <definedName name="Union_Agency">'BW Model 2016'!$G$3</definedName>
    <definedName name="Union_Dues_Agency_Fee" localSheetId="1">'Taxes'!$G$3</definedName>
    <definedName name="Union_Dues_Agency_Fee">'BW Model 2016'!$G$3</definedName>
    <definedName name="Union_Title" localSheetId="1">'Taxes'!$B$10</definedName>
    <definedName name="Union_Title">'BW Model 2016'!$B$10</definedName>
    <definedName name="Union2" localSheetId="1">'Taxes'!$A$70:$A$90</definedName>
    <definedName name="Union2">'BW Model 2016'!$A$71:$A$91</definedName>
    <definedName name="Vanpool_Pretaxed" localSheetId="1">'Taxes'!$B$122</definedName>
    <definedName name="Vanpool_Pretaxed">'BW Model 2016'!$B$123</definedName>
    <definedName name="Weekly_Hours" localSheetId="1">'Taxes'!$B$3</definedName>
    <definedName name="Weekly_Hours">'BW Model 2016'!$B$3</definedName>
    <definedName name="Z_5BDD4B12_5795_422A_A0C5_EDFF0A21E63D_.wvu.PrintArea" localSheetId="0" hidden="1">'BW Model 2016'!$A$1:$J$26</definedName>
    <definedName name="Z_5BDD4B12_5795_422A_A0C5_EDFF0A21E63D_.wvu.PrintArea" localSheetId="1" hidden="1">'Taxes'!$A$1:$J$26</definedName>
  </definedNames>
  <calcPr fullCalcOnLoad="1"/>
</workbook>
</file>

<file path=xl/comments1.xml><?xml version="1.0" encoding="utf-8"?>
<comments xmlns="http://schemas.openxmlformats.org/spreadsheetml/2006/main">
  <authors>
    <author>Supervisor</author>
  </authors>
  <commentList>
    <comment ref="F18" authorId="0">
      <text>
        <r>
          <rPr>
            <b/>
            <sz val="8"/>
            <rFont val="Tahoma"/>
            <family val="2"/>
          </rPr>
          <t>Disclaimer:</t>
        </r>
        <r>
          <rPr>
            <sz val="8"/>
            <rFont val="Tahoma"/>
            <family val="2"/>
          </rPr>
          <t xml:space="preserve">
Please note that this calculator is provided and designed to give general guidance and estimates only. Your actual paycheck amount may not match the calculated results but should be within 5% of the estimated amount.</t>
        </r>
      </text>
    </comment>
  </commentList>
</comments>
</file>

<file path=xl/comments2.xml><?xml version="1.0" encoding="utf-8"?>
<comments xmlns="http://schemas.openxmlformats.org/spreadsheetml/2006/main">
  <authors>
    <author>Supervisor</author>
  </authors>
  <commentList>
    <comment ref="F18" authorId="0">
      <text>
        <r>
          <rPr>
            <b/>
            <sz val="8"/>
            <rFont val="Tahoma"/>
            <family val="2"/>
          </rPr>
          <t>Disclaimer:</t>
        </r>
        <r>
          <rPr>
            <sz val="8"/>
            <rFont val="Tahoma"/>
            <family val="2"/>
          </rPr>
          <t xml:space="preserve">
Please note that this calculator is provided and designed to give general guidance and estimates only. Your actual paycheck amount may not match the calculated results but should be within 2% of the estimated amount.</t>
        </r>
      </text>
    </comment>
  </commentList>
</comments>
</file>

<file path=xl/sharedStrings.xml><?xml version="1.0" encoding="utf-8"?>
<sst xmlns="http://schemas.openxmlformats.org/spreadsheetml/2006/main" count="714" uniqueCount="177">
  <si>
    <t>Taxable Gross</t>
  </si>
  <si>
    <t>Total Deductions</t>
  </si>
  <si>
    <t>FICA</t>
  </si>
  <si>
    <t>Total Reductions</t>
  </si>
  <si>
    <t>OASDI</t>
  </si>
  <si>
    <t>Vanpool - Pretaxed</t>
  </si>
  <si>
    <t>Medicare</t>
  </si>
  <si>
    <t>Deductions 10</t>
  </si>
  <si>
    <t>Parking - Pretaxed</t>
  </si>
  <si>
    <t>Deductions 9</t>
  </si>
  <si>
    <t>Deductions 8</t>
  </si>
  <si>
    <t>Deductions 7</t>
  </si>
  <si>
    <t xml:space="preserve">DepCare FSA </t>
  </si>
  <si>
    <t>Deductions 6</t>
  </si>
  <si>
    <t xml:space="preserve">Health FSA </t>
  </si>
  <si>
    <t>Deductions 5</t>
  </si>
  <si>
    <t>Medical Premium</t>
  </si>
  <si>
    <t>Deductions 4</t>
  </si>
  <si>
    <t>Deductions 3</t>
  </si>
  <si>
    <t>Deductions 2</t>
  </si>
  <si>
    <t xml:space="preserve">UCRP </t>
  </si>
  <si>
    <t>FICA Gross</t>
  </si>
  <si>
    <t>Gross Amt</t>
  </si>
  <si>
    <t>Monthly Rate</t>
  </si>
  <si>
    <t>Hours Worked per Week</t>
  </si>
  <si>
    <t>Biweekly Gross Amt</t>
  </si>
  <si>
    <t>Hourly Rate</t>
  </si>
  <si>
    <t>Pre-Taxed Reductions</t>
  </si>
  <si>
    <t>Federal Tax</t>
  </si>
  <si>
    <t>CA State Tax</t>
  </si>
  <si>
    <t xml:space="preserve">Taxes </t>
  </si>
  <si>
    <t>Deductions</t>
  </si>
  <si>
    <t>Total Hours Worked per BW Pay Period</t>
  </si>
  <si>
    <t>403B Flat</t>
  </si>
  <si>
    <t>403B %</t>
  </si>
  <si>
    <t>457B Flat</t>
  </si>
  <si>
    <t>457B %</t>
  </si>
  <si>
    <t>DCP CAS</t>
  </si>
  <si>
    <t>BX</t>
  </si>
  <si>
    <t>CX</t>
  </si>
  <si>
    <t>EX</t>
  </si>
  <si>
    <t>HX</t>
  </si>
  <si>
    <t>IX</t>
  </si>
  <si>
    <t>K4</t>
  </si>
  <si>
    <t>LX</t>
  </si>
  <si>
    <t>NX</t>
  </si>
  <si>
    <t>PA</t>
  </si>
  <si>
    <t>PX</t>
  </si>
  <si>
    <t>SX</t>
  </si>
  <si>
    <t>NA - 99</t>
  </si>
  <si>
    <t>UCRP1</t>
  </si>
  <si>
    <t>UCRP2</t>
  </si>
  <si>
    <t>RX</t>
  </si>
  <si>
    <t>TX</t>
  </si>
  <si>
    <t>Rate</t>
  </si>
  <si>
    <t>Less</t>
  </si>
  <si>
    <t>Net UCRP</t>
  </si>
  <si>
    <t>Retirement Gross</t>
  </si>
  <si>
    <t>Union</t>
  </si>
  <si>
    <t>Dues Amt</t>
  </si>
  <si>
    <t>Agency Fee %</t>
  </si>
  <si>
    <t>Agency Fee Amt</t>
  </si>
  <si>
    <t>Dues %</t>
  </si>
  <si>
    <t>EDB Data</t>
  </si>
  <si>
    <t>Pay Cycle:</t>
  </si>
  <si>
    <t>Marital Status:</t>
  </si>
  <si>
    <t>M</t>
  </si>
  <si>
    <t>Allowances:</t>
  </si>
  <si>
    <t>FWT Gross Data</t>
  </si>
  <si>
    <t>Total FWT Gross:</t>
  </si>
  <si>
    <t>Amt for Tax Table:</t>
  </si>
  <si>
    <t>Amt for 25% Flat Tax:</t>
  </si>
  <si>
    <r>
      <t xml:space="preserve">(DOS catagorized as </t>
    </r>
    <r>
      <rPr>
        <b/>
        <sz val="8"/>
        <color indexed="17"/>
        <rFont val="Arial"/>
        <family val="2"/>
      </rPr>
      <t>Supplemental</t>
    </r>
    <r>
      <rPr>
        <i/>
        <sz val="8"/>
        <color indexed="17"/>
        <rFont val="Arial"/>
        <family val="2"/>
      </rPr>
      <t xml:space="preserve"> pay AND is not paid w/reg-type pay)</t>
    </r>
  </si>
  <si>
    <t>Tax Calculations</t>
  </si>
  <si>
    <t>Tax Table</t>
  </si>
  <si>
    <t>Flat Tax</t>
  </si>
  <si>
    <t>Total FWT Tax Withholding</t>
  </si>
  <si>
    <t>2012 Federal Withholding Tax Worksheet</t>
  </si>
  <si>
    <t>OASDI Wage Base Limit:  $106800</t>
  </si>
  <si>
    <t>(no change from 2009)</t>
  </si>
  <si>
    <t>Allowance Amount</t>
  </si>
  <si>
    <t>Number of Allowances</t>
  </si>
  <si>
    <t>Amount X     # Allowances</t>
  </si>
  <si>
    <t>Taxable Income</t>
  </si>
  <si>
    <t>Biweekly Tax Amt.</t>
  </si>
  <si>
    <t>SINGLE</t>
  </si>
  <si>
    <t>NO TAX WITHHELD</t>
  </si>
  <si>
    <t>OVER</t>
  </si>
  <si>
    <t>MARRIED</t>
  </si>
  <si>
    <t>Table 1</t>
  </si>
  <si>
    <t>Table 2</t>
  </si>
  <si>
    <t>Table 3</t>
  </si>
  <si>
    <t>Table 4</t>
  </si>
  <si>
    <t>Table 5</t>
  </si>
  <si>
    <t>CX Dues</t>
  </si>
  <si>
    <t>CX Agency Fee</t>
  </si>
  <si>
    <t>EX Dues</t>
  </si>
  <si>
    <t>EX Agency Fee</t>
  </si>
  <si>
    <t>HX Dues</t>
  </si>
  <si>
    <t>HX Agency Fee</t>
  </si>
  <si>
    <t>IX Dues</t>
  </si>
  <si>
    <t>IX Agency Fee</t>
  </si>
  <si>
    <t>LX  Dues</t>
  </si>
  <si>
    <t>LX Agency Fee</t>
  </si>
  <si>
    <t>CNA Dues</t>
  </si>
  <si>
    <t>CNA (NX) Agency Fee</t>
  </si>
  <si>
    <t>RX Dues</t>
  </si>
  <si>
    <t>RX Agency Fee</t>
  </si>
  <si>
    <t>SX Dues</t>
  </si>
  <si>
    <t>SX Agency Fee</t>
  </si>
  <si>
    <t>TX Dues</t>
  </si>
  <si>
    <t>TX Agency Fee</t>
  </si>
  <si>
    <t>K4 Dues</t>
  </si>
  <si>
    <t>K4 Agency Fee</t>
  </si>
  <si>
    <t>Federal Withholding</t>
  </si>
  <si>
    <t>Federal Allowances</t>
  </si>
  <si>
    <t>State Withholding</t>
  </si>
  <si>
    <t>State Allowances</t>
  </si>
  <si>
    <t>State Itemized</t>
  </si>
  <si>
    <t>S</t>
  </si>
  <si>
    <t>Over</t>
  </si>
  <si>
    <t>Biweekly Single</t>
  </si>
  <si>
    <t>Allowances</t>
  </si>
  <si>
    <t>Standard Deduction</t>
  </si>
  <si>
    <t>Allw x Std Ded</t>
  </si>
  <si>
    <t>Biweekly Married</t>
  </si>
  <si>
    <t>Withholding Gross</t>
  </si>
  <si>
    <t>BW</t>
  </si>
  <si>
    <t>Single</t>
  </si>
  <si>
    <t>Married 1</t>
  </si>
  <si>
    <t>Married 2</t>
  </si>
  <si>
    <t>Head</t>
  </si>
  <si>
    <t>11 to 998</t>
  </si>
  <si>
    <t>H</t>
  </si>
  <si>
    <t>Itemized</t>
  </si>
  <si>
    <t>Diff</t>
  </si>
  <si>
    <t>Adjusted Taxable Income</t>
  </si>
  <si>
    <t>Marginal Income</t>
  </si>
  <si>
    <t>Marginal Diff</t>
  </si>
  <si>
    <t>Tax Rate (Percent)</t>
  </si>
  <si>
    <t>Mar Diff x Tax Rate</t>
  </si>
  <si>
    <t>Tax Listed</t>
  </si>
  <si>
    <t>Total</t>
  </si>
  <si>
    <t>CA Tax Withholding</t>
  </si>
  <si>
    <t>Fed Taxable Gross</t>
  </si>
  <si>
    <t>CA State Taxable Gross</t>
  </si>
  <si>
    <t>None</t>
  </si>
  <si>
    <t>Deductions 1</t>
  </si>
  <si>
    <t>Transit - Pretaxed</t>
  </si>
  <si>
    <t>Federal Status</t>
  </si>
  <si>
    <t>Married</t>
  </si>
  <si>
    <t>CA State Status</t>
  </si>
  <si>
    <t>Head of Household</t>
  </si>
  <si>
    <t>Union Dues/Agency Fee</t>
  </si>
  <si>
    <t>Social Security (FICA) Taxes</t>
  </si>
  <si>
    <t>FICA Taxes</t>
  </si>
  <si>
    <t>Yes</t>
  </si>
  <si>
    <t>FICA Selection</t>
  </si>
  <si>
    <t>Retirement</t>
  </si>
  <si>
    <t>Social Security</t>
  </si>
  <si>
    <t>DCP - SafeHarbor</t>
  </si>
  <si>
    <t>Bargining Unit Dues/Fee</t>
  </si>
  <si>
    <t>Less Deductions:</t>
  </si>
  <si>
    <t>Biweekly Net Pay</t>
  </si>
  <si>
    <t>UCPR2</t>
  </si>
  <si>
    <t>UCRP3</t>
  </si>
  <si>
    <t>Health FSA</t>
  </si>
  <si>
    <t>All other deductions</t>
  </si>
  <si>
    <t>UCRP</t>
  </si>
  <si>
    <t>Pay Results - 2 Full Weeks (80 Hours)</t>
  </si>
  <si>
    <t>Pay Results - 1 Full Week (40 Hours)</t>
  </si>
  <si>
    <t>Transit Location</t>
  </si>
  <si>
    <t>Transit Amt</t>
  </si>
  <si>
    <t>UCSD</t>
  </si>
  <si>
    <t>Allw x Amt</t>
  </si>
  <si>
    <t>Amt Per Allowances</t>
  </si>
  <si>
    <t>Wages in Excess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</si>
</sst>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000_);[Red]\(0.0000\)"/>
    <numFmt numFmtId="166" formatCode="0.0000"/>
    <numFmt numFmtId="167" formatCode="0.00_);\(0.00\)"/>
    <numFmt numFmtId="168" formatCode="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u val="single"/>
      <sz val="10"/>
      <color indexed="41"/>
      <name val="Arial"/>
      <family val="2"/>
    </font>
    <font>
      <sz val="10"/>
      <color indexed="16"/>
      <name val="Arial"/>
      <family val="2"/>
    </font>
    <font>
      <sz val="10"/>
      <name val="Comic Sans MS"/>
      <family val="4"/>
    </font>
    <font>
      <b/>
      <sz val="12"/>
      <color indexed="16"/>
      <name val="Comic Sans MS"/>
      <family val="4"/>
    </font>
    <font>
      <b/>
      <sz val="10"/>
      <color indexed="16"/>
      <name val="Arial"/>
      <family val="2"/>
    </font>
    <font>
      <i/>
      <sz val="8"/>
      <color indexed="17"/>
      <name val="Arial"/>
      <family val="2"/>
    </font>
    <font>
      <b/>
      <sz val="8"/>
      <color indexed="17"/>
      <name val="Arial"/>
      <family val="2"/>
    </font>
    <font>
      <b/>
      <i/>
      <sz val="8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10"/>
      <name val="Arial"/>
      <family val="2"/>
    </font>
    <font>
      <sz val="15"/>
      <color indexed="41"/>
      <name val="Arial"/>
      <family val="2"/>
    </font>
    <font>
      <b/>
      <sz val="10"/>
      <color indexed="17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17"/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7"/>
      </left>
      <right/>
      <top/>
      <bottom/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double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double">
        <color indexed="17"/>
      </top>
      <bottom style="thin">
        <color indexed="17"/>
      </bottom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>
        <color indexed="17"/>
      </left>
      <right/>
      <top/>
      <bottom style="thin">
        <color indexed="17"/>
      </bottom>
    </border>
    <border>
      <left/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 style="thin">
        <color indexed="17"/>
      </top>
      <bottom/>
    </border>
    <border>
      <left/>
      <right style="thin">
        <color indexed="17"/>
      </right>
      <top style="thin">
        <color indexed="17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33" borderId="0" xfId="56" applyFill="1" applyProtection="1">
      <alignment/>
      <protection/>
    </xf>
    <xf numFmtId="0" fontId="5" fillId="33" borderId="0" xfId="56" applyFont="1" applyFill="1" applyProtection="1">
      <alignment/>
      <protection/>
    </xf>
    <xf numFmtId="0" fontId="2" fillId="33" borderId="0" xfId="56" applyFill="1" applyProtection="1">
      <alignment/>
      <protection hidden="1"/>
    </xf>
    <xf numFmtId="0" fontId="2" fillId="33" borderId="10" xfId="56" applyFill="1" applyBorder="1" applyProtection="1">
      <alignment/>
      <protection/>
    </xf>
    <xf numFmtId="0" fontId="6" fillId="33" borderId="11" xfId="56" applyFont="1" applyFill="1" applyBorder="1" applyAlignment="1" applyProtection="1">
      <alignment horizontal="left"/>
      <protection locked="0"/>
    </xf>
    <xf numFmtId="0" fontId="6" fillId="33" borderId="12" xfId="56" applyFont="1" applyFill="1" applyBorder="1" applyAlignment="1" applyProtection="1">
      <alignment horizontal="left"/>
      <protection locked="0"/>
    </xf>
    <xf numFmtId="168" fontId="6" fillId="33" borderId="13" xfId="56" applyNumberFormat="1" applyFont="1" applyFill="1" applyBorder="1" applyAlignment="1" applyProtection="1">
      <alignment horizontal="left"/>
      <protection locked="0"/>
    </xf>
    <xf numFmtId="0" fontId="7" fillId="33" borderId="0" xfId="56" applyFont="1" applyFill="1" applyAlignment="1" applyProtection="1">
      <alignment vertical="center"/>
      <protection/>
    </xf>
    <xf numFmtId="0" fontId="2" fillId="34" borderId="10" xfId="56" applyFill="1" applyBorder="1" applyProtection="1">
      <alignment/>
      <protection/>
    </xf>
    <xf numFmtId="0" fontId="2" fillId="34" borderId="14" xfId="56" applyFill="1" applyBorder="1" applyProtection="1">
      <alignment/>
      <protection/>
    </xf>
    <xf numFmtId="4" fontId="6" fillId="33" borderId="15" xfId="56" applyNumberFormat="1" applyFont="1" applyFill="1" applyBorder="1" applyProtection="1">
      <alignment/>
      <protection locked="0"/>
    </xf>
    <xf numFmtId="0" fontId="8" fillId="33" borderId="0" xfId="56" applyFont="1" applyFill="1" applyAlignment="1" applyProtection="1">
      <alignment vertical="center"/>
      <protection/>
    </xf>
    <xf numFmtId="4" fontId="2" fillId="35" borderId="14" xfId="56" applyNumberFormat="1" applyFill="1" applyBorder="1" applyProtection="1">
      <alignment/>
      <protection/>
    </xf>
    <xf numFmtId="0" fontId="9" fillId="33" borderId="0" xfId="56" applyFont="1" applyFill="1" applyAlignment="1" applyProtection="1">
      <alignment vertical="top" wrapText="1"/>
      <protection/>
    </xf>
    <xf numFmtId="4" fontId="2" fillId="34" borderId="14" xfId="56" applyNumberFormat="1" applyFill="1" applyBorder="1" applyProtection="1">
      <alignment/>
      <protection/>
    </xf>
    <xf numFmtId="0" fontId="12" fillId="33" borderId="10" xfId="56" applyFont="1" applyFill="1" applyBorder="1" applyAlignment="1" applyProtection="1">
      <alignment wrapText="1"/>
      <protection/>
    </xf>
    <xf numFmtId="4" fontId="13" fillId="33" borderId="14" xfId="56" applyNumberFormat="1" applyFont="1" applyFill="1" applyBorder="1" applyProtection="1">
      <alignment/>
      <protection/>
    </xf>
    <xf numFmtId="0" fontId="15" fillId="33" borderId="0" xfId="56" applyFont="1" applyFill="1" applyProtection="1">
      <alignment/>
      <protection/>
    </xf>
    <xf numFmtId="0" fontId="12" fillId="33" borderId="0" xfId="56" applyFont="1" applyFill="1" applyProtection="1">
      <alignment/>
      <protection/>
    </xf>
    <xf numFmtId="2" fontId="12" fillId="33" borderId="0" xfId="56" applyNumberFormat="1" applyFont="1" applyFill="1" applyProtection="1">
      <alignment/>
      <protection/>
    </xf>
    <xf numFmtId="0" fontId="12" fillId="33" borderId="0" xfId="56" applyFont="1" applyFill="1" applyProtection="1">
      <alignment/>
      <protection hidden="1"/>
    </xf>
    <xf numFmtId="0" fontId="2" fillId="0" borderId="0" xfId="56">
      <alignment/>
      <protection/>
    </xf>
    <xf numFmtId="0" fontId="16" fillId="36" borderId="0" xfId="56" applyFont="1" applyFill="1" applyAlignment="1">
      <alignment horizontal="center" wrapText="1"/>
      <protection/>
    </xf>
    <xf numFmtId="0" fontId="16" fillId="37" borderId="0" xfId="56" applyFont="1" applyFill="1" applyAlignment="1">
      <alignment horizontal="center" wrapText="1"/>
      <protection/>
    </xf>
    <xf numFmtId="4" fontId="2" fillId="36" borderId="0" xfId="56" applyNumberFormat="1" applyFill="1">
      <alignment/>
      <protection/>
    </xf>
    <xf numFmtId="168" fontId="2" fillId="37" borderId="0" xfId="56" applyNumberFormat="1" applyFill="1">
      <alignment/>
      <protection/>
    </xf>
    <xf numFmtId="0" fontId="2" fillId="36" borderId="0" xfId="56" applyFill="1">
      <alignment/>
      <protection/>
    </xf>
    <xf numFmtId="4" fontId="2" fillId="37" borderId="0" xfId="56" applyNumberFormat="1" applyFill="1">
      <alignment/>
      <protection/>
    </xf>
    <xf numFmtId="4" fontId="2" fillId="0" borderId="0" xfId="56" applyNumberFormat="1">
      <alignment/>
      <protection/>
    </xf>
    <xf numFmtId="1" fontId="2" fillId="38" borderId="16" xfId="56" applyNumberFormat="1" applyFont="1" applyFill="1" applyBorder="1" applyAlignment="1">
      <alignment horizontal="right" vertical="top" wrapText="1"/>
      <protection/>
    </xf>
    <xf numFmtId="2" fontId="2" fillId="38" borderId="16" xfId="56" applyNumberFormat="1" applyFont="1" applyFill="1" applyBorder="1" applyAlignment="1">
      <alignment horizontal="right" vertical="top" wrapText="1"/>
      <protection/>
    </xf>
    <xf numFmtId="9" fontId="2" fillId="38" borderId="16" xfId="56" applyNumberFormat="1" applyFont="1" applyFill="1" applyBorder="1" applyAlignment="1">
      <alignment horizontal="right" vertical="top" wrapText="1"/>
      <protection/>
    </xf>
    <xf numFmtId="0" fontId="2" fillId="38" borderId="16" xfId="56" applyFont="1" applyFill="1" applyBorder="1" applyAlignment="1">
      <alignment horizontal="right" vertical="top" wrapText="1"/>
      <protection/>
    </xf>
    <xf numFmtId="1" fontId="2" fillId="38" borderId="17" xfId="56" applyNumberFormat="1" applyFont="1" applyFill="1" applyBorder="1" applyAlignment="1">
      <alignment horizontal="right" vertical="top" wrapText="1"/>
      <protection/>
    </xf>
    <xf numFmtId="2" fontId="2" fillId="38" borderId="17" xfId="56" applyNumberFormat="1" applyFont="1" applyFill="1" applyBorder="1" applyAlignment="1">
      <alignment horizontal="right" vertical="top" wrapText="1"/>
      <protection/>
    </xf>
    <xf numFmtId="9" fontId="2" fillId="38" borderId="17" xfId="56" applyNumberFormat="1" applyFont="1" applyFill="1" applyBorder="1" applyAlignment="1">
      <alignment horizontal="right" vertical="top" wrapText="1"/>
      <protection/>
    </xf>
    <xf numFmtId="0" fontId="2" fillId="38" borderId="17" xfId="56" applyFont="1" applyFill="1" applyBorder="1" applyAlignment="1">
      <alignment horizontal="right" vertical="top" wrapText="1"/>
      <protection/>
    </xf>
    <xf numFmtId="0" fontId="2" fillId="0" borderId="0" xfId="56" applyAlignment="1">
      <alignment horizontal="center"/>
      <protection/>
    </xf>
    <xf numFmtId="0" fontId="17" fillId="38" borderId="16" xfId="56" applyFont="1" applyFill="1" applyBorder="1" applyAlignment="1">
      <alignment horizontal="center"/>
      <protection/>
    </xf>
    <xf numFmtId="0" fontId="2" fillId="38" borderId="16" xfId="56" applyFont="1" applyFill="1" applyBorder="1" applyAlignment="1">
      <alignment horizontal="center" vertical="top" wrapText="1"/>
      <protection/>
    </xf>
    <xf numFmtId="0" fontId="17" fillId="38" borderId="17" xfId="56" applyFont="1" applyFill="1" applyBorder="1" applyAlignment="1">
      <alignment horizontal="center"/>
      <protection/>
    </xf>
    <xf numFmtId="0" fontId="2" fillId="38" borderId="17" xfId="56" applyFont="1" applyFill="1" applyBorder="1" applyAlignment="1">
      <alignment horizontal="center" vertical="top" wrapText="1"/>
      <protection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0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164" fontId="0" fillId="39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166" fontId="0" fillId="40" borderId="18" xfId="0" applyNumberFormat="1" applyFill="1" applyBorder="1" applyAlignment="1" applyProtection="1">
      <alignment/>
      <protection hidden="1"/>
    </xf>
    <xf numFmtId="164" fontId="0" fillId="40" borderId="18" xfId="0" applyNumberFormat="1" applyFill="1" applyBorder="1" applyAlignment="1" applyProtection="1">
      <alignment/>
      <protection hidden="1"/>
    </xf>
    <xf numFmtId="0" fontId="0" fillId="40" borderId="18" xfId="0" applyFill="1" applyBorder="1" applyAlignment="1" applyProtection="1">
      <alignment/>
      <protection hidden="1"/>
    </xf>
    <xf numFmtId="166" fontId="0" fillId="40" borderId="0" xfId="0" applyNumberFormat="1" applyFill="1" applyAlignment="1" applyProtection="1">
      <alignment/>
      <protection hidden="1"/>
    </xf>
    <xf numFmtId="164" fontId="0" fillId="40" borderId="0" xfId="0" applyNumberFormat="1" applyFill="1" applyAlignment="1" applyProtection="1">
      <alignment/>
      <protection hidden="1"/>
    </xf>
    <xf numFmtId="167" fontId="0" fillId="40" borderId="0" xfId="0" applyNumberFormat="1" applyFill="1" applyAlignment="1" applyProtection="1">
      <alignment/>
      <protection hidden="1"/>
    </xf>
    <xf numFmtId="0" fontId="3" fillId="41" borderId="18" xfId="0" applyFont="1" applyFill="1" applyBorder="1" applyAlignment="1" applyProtection="1">
      <alignment horizontal="center"/>
      <protection hidden="1"/>
    </xf>
    <xf numFmtId="164" fontId="3" fillId="41" borderId="0" xfId="0" applyNumberFormat="1" applyFont="1" applyFill="1" applyAlignment="1" applyProtection="1">
      <alignment/>
      <protection hidden="1"/>
    </xf>
    <xf numFmtId="165" fontId="3" fillId="41" borderId="0" xfId="0" applyNumberFormat="1" applyFont="1" applyFill="1" applyAlignment="1" applyProtection="1">
      <alignment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0" fillId="42" borderId="0" xfId="0" applyFill="1" applyAlignment="1" applyProtection="1">
      <alignment/>
      <protection hidden="1"/>
    </xf>
    <xf numFmtId="164" fontId="0" fillId="42" borderId="0" xfId="0" applyNumberFormat="1" applyFill="1" applyAlignment="1" applyProtection="1">
      <alignment/>
      <protection hidden="1"/>
    </xf>
    <xf numFmtId="168" fontId="0" fillId="42" borderId="0" xfId="0" applyNumberFormat="1" applyFill="1" applyAlignment="1" applyProtection="1">
      <alignment/>
      <protection hidden="1"/>
    </xf>
    <xf numFmtId="0" fontId="0" fillId="42" borderId="19" xfId="0" applyFill="1" applyBorder="1" applyAlignment="1" applyProtection="1">
      <alignment/>
      <protection hidden="1"/>
    </xf>
    <xf numFmtId="164" fontId="0" fillId="42" borderId="19" xfId="0" applyNumberFormat="1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/>
      <protection hidden="1"/>
    </xf>
    <xf numFmtId="164" fontId="0" fillId="42" borderId="0" xfId="0" applyNumberFormat="1" applyFill="1" applyBorder="1" applyAlignment="1" applyProtection="1">
      <alignment/>
      <protection hidden="1"/>
    </xf>
    <xf numFmtId="168" fontId="0" fillId="42" borderId="0" xfId="0" applyNumberFormat="1" applyFill="1" applyBorder="1" applyAlignment="1" applyProtection="1">
      <alignment/>
      <protection hidden="1"/>
    </xf>
    <xf numFmtId="164" fontId="0" fillId="42" borderId="2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0" fillId="43" borderId="0" xfId="0" applyNumberFormat="1" applyFill="1" applyAlignment="1" applyProtection="1">
      <alignment/>
      <protection hidden="1"/>
    </xf>
    <xf numFmtId="0" fontId="0" fillId="43" borderId="0" xfId="0" applyFill="1" applyAlignment="1" applyProtection="1">
      <alignment/>
      <protection hidden="1"/>
    </xf>
    <xf numFmtId="164" fontId="18" fillId="43" borderId="0" xfId="0" applyNumberFormat="1" applyFont="1" applyFill="1" applyAlignment="1" applyProtection="1">
      <alignment horizontal="left"/>
      <protection hidden="1"/>
    </xf>
    <xf numFmtId="164" fontId="18" fillId="43" borderId="0" xfId="0" applyNumberFormat="1" applyFont="1" applyFill="1" applyAlignment="1" applyProtection="1">
      <alignment horizontal="right"/>
      <protection hidden="1"/>
    </xf>
    <xf numFmtId="168" fontId="0" fillId="43" borderId="0" xfId="0" applyNumberFormat="1" applyFill="1" applyAlignment="1" applyProtection="1">
      <alignment/>
      <protection hidden="1"/>
    </xf>
    <xf numFmtId="10" fontId="0" fillId="43" borderId="0" xfId="0" applyNumberFormat="1" applyFill="1" applyAlignment="1" applyProtection="1">
      <alignment/>
      <protection hidden="1"/>
    </xf>
    <xf numFmtId="0" fontId="0" fillId="43" borderId="0" xfId="0" applyFill="1" applyAlignment="1" applyProtection="1">
      <alignment horizontal="left"/>
      <protection hidden="1"/>
    </xf>
    <xf numFmtId="0" fontId="0" fillId="43" borderId="20" xfId="0" applyFill="1" applyBorder="1" applyAlignment="1" applyProtection="1">
      <alignment/>
      <protection hidden="1"/>
    </xf>
    <xf numFmtId="164" fontId="0" fillId="43" borderId="20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19" fillId="0" borderId="0" xfId="0" applyNumberFormat="1" applyFont="1" applyAlignment="1" applyProtection="1">
      <alignment/>
      <protection hidden="1"/>
    </xf>
    <xf numFmtId="164" fontId="19" fillId="0" borderId="0" xfId="0" applyNumberFormat="1" applyFont="1" applyAlignment="1">
      <alignment wrapText="1"/>
    </xf>
    <xf numFmtId="0" fontId="19" fillId="44" borderId="0" xfId="0" applyFont="1" applyFill="1" applyAlignment="1">
      <alignment/>
    </xf>
    <xf numFmtId="164" fontId="19" fillId="44" borderId="0" xfId="0" applyNumberFormat="1" applyFont="1" applyFill="1" applyAlignment="1" applyProtection="1">
      <alignment/>
      <protection locked="0"/>
    </xf>
    <xf numFmtId="0" fontId="19" fillId="45" borderId="0" xfId="0" applyFont="1" applyFill="1" applyAlignment="1">
      <alignment/>
    </xf>
    <xf numFmtId="164" fontId="19" fillId="45" borderId="0" xfId="0" applyNumberFormat="1" applyFont="1" applyFill="1" applyAlignment="1" applyProtection="1">
      <alignment/>
      <protection hidden="1"/>
    </xf>
    <xf numFmtId="164" fontId="19" fillId="0" borderId="0" xfId="0" applyNumberFormat="1" applyFont="1" applyAlignment="1" applyProtection="1">
      <alignment wrapText="1"/>
      <protection locked="0"/>
    </xf>
    <xf numFmtId="0" fontId="19" fillId="46" borderId="0" xfId="0" applyFont="1" applyFill="1" applyAlignment="1">
      <alignment/>
    </xf>
    <xf numFmtId="164" fontId="19" fillId="46" borderId="0" xfId="0" applyNumberFormat="1" applyFont="1" applyFill="1" applyAlignment="1" applyProtection="1">
      <alignment/>
      <protection hidden="1"/>
    </xf>
    <xf numFmtId="0" fontId="19" fillId="41" borderId="0" xfId="0" applyFont="1" applyFill="1" applyAlignment="1">
      <alignment/>
    </xf>
    <xf numFmtId="164" fontId="19" fillId="41" borderId="0" xfId="0" applyNumberFormat="1" applyFont="1" applyFill="1" applyAlignment="1" applyProtection="1">
      <alignment/>
      <protection hidden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64" fontId="19" fillId="0" borderId="0" xfId="0" applyNumberFormat="1" applyFont="1" applyFill="1" applyAlignment="1" applyProtection="1">
      <alignment horizontal="center"/>
      <protection hidden="1"/>
    </xf>
    <xf numFmtId="164" fontId="19" fillId="0" borderId="0" xfId="0" applyNumberFormat="1" applyFont="1" applyAlignment="1" applyProtection="1">
      <alignment horizontal="center"/>
      <protection hidden="1"/>
    </xf>
    <xf numFmtId="0" fontId="19" fillId="0" borderId="19" xfId="0" applyFont="1" applyBorder="1" applyAlignment="1">
      <alignment/>
    </xf>
    <xf numFmtId="164" fontId="19" fillId="0" borderId="19" xfId="0" applyNumberFormat="1" applyFont="1" applyBorder="1" applyAlignment="1" applyProtection="1">
      <alignment/>
      <protection hidden="1"/>
    </xf>
    <xf numFmtId="164" fontId="19" fillId="0" borderId="0" xfId="0" applyNumberFormat="1" applyFont="1" applyFill="1" applyAlignment="1">
      <alignment/>
    </xf>
    <xf numFmtId="0" fontId="19" fillId="38" borderId="21" xfId="0" applyFont="1" applyFill="1" applyBorder="1" applyAlignment="1">
      <alignment/>
    </xf>
    <xf numFmtId="0" fontId="19" fillId="0" borderId="0" xfId="0" applyFont="1" applyAlignment="1">
      <alignment wrapText="1"/>
    </xf>
    <xf numFmtId="164" fontId="19" fillId="44" borderId="0" xfId="0" applyNumberFormat="1" applyFont="1" applyFill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0" fontId="0" fillId="47" borderId="0" xfId="0" applyFill="1" applyAlignment="1" applyProtection="1">
      <alignment/>
      <protection hidden="1"/>
    </xf>
    <xf numFmtId="0" fontId="19" fillId="0" borderId="0" xfId="0" applyFont="1" applyAlignment="1">
      <alignment horizontal="center"/>
    </xf>
    <xf numFmtId="164" fontId="19" fillId="43" borderId="0" xfId="0" applyNumberFormat="1" applyFont="1" applyFill="1" applyAlignment="1" applyProtection="1">
      <alignment horizontal="right"/>
      <protection hidden="1"/>
    </xf>
    <xf numFmtId="164" fontId="19" fillId="44" borderId="0" xfId="0" applyNumberFormat="1" applyFont="1" applyFill="1" applyBorder="1" applyAlignment="1" applyProtection="1">
      <alignment horizontal="center"/>
      <protection/>
    </xf>
    <xf numFmtId="168" fontId="19" fillId="44" borderId="0" xfId="0" applyNumberFormat="1" applyFont="1" applyFill="1" applyBorder="1" applyAlignment="1" applyProtection="1">
      <alignment horizontal="center"/>
      <protection hidden="1"/>
    </xf>
    <xf numFmtId="168" fontId="19" fillId="44" borderId="0" xfId="0" applyNumberFormat="1" applyFont="1" applyFill="1" applyBorder="1" applyAlignment="1" applyProtection="1">
      <alignment horizontal="center"/>
      <protection/>
    </xf>
    <xf numFmtId="0" fontId="3" fillId="42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164" fontId="3" fillId="0" borderId="23" xfId="0" applyNumberFormat="1" applyFont="1" applyBorder="1" applyAlignment="1">
      <alignment/>
    </xf>
    <xf numFmtId="0" fontId="25" fillId="40" borderId="24" xfId="0" applyFont="1" applyFill="1" applyBorder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164" fontId="19" fillId="0" borderId="0" xfId="0" applyNumberFormat="1" applyFont="1" applyFill="1" applyAlignment="1" applyProtection="1">
      <alignment horizontal="right"/>
      <protection hidden="1"/>
    </xf>
    <xf numFmtId="0" fontId="19" fillId="47" borderId="19" xfId="0" applyFont="1" applyFill="1" applyBorder="1" applyAlignment="1">
      <alignment/>
    </xf>
    <xf numFmtId="164" fontId="19" fillId="47" borderId="19" xfId="0" applyNumberFormat="1" applyFont="1" applyFill="1" applyBorder="1" applyAlignment="1" applyProtection="1">
      <alignment/>
      <protection hidden="1"/>
    </xf>
    <xf numFmtId="164" fontId="26" fillId="43" borderId="0" xfId="0" applyNumberFormat="1" applyFont="1" applyFill="1" applyAlignment="1" applyProtection="1">
      <alignment horizontal="right" wrapText="1"/>
      <protection hidden="1"/>
    </xf>
    <xf numFmtId="0" fontId="27" fillId="0" borderId="23" xfId="0" applyFont="1" applyBorder="1" applyAlignment="1">
      <alignment/>
    </xf>
    <xf numFmtId="164" fontId="19" fillId="38" borderId="21" xfId="0" applyNumberFormat="1" applyFont="1" applyFill="1" applyBorder="1" applyAlignment="1" applyProtection="1">
      <alignment/>
      <protection hidden="1"/>
    </xf>
    <xf numFmtId="2" fontId="3" fillId="42" borderId="25" xfId="0" applyNumberFormat="1" applyFont="1" applyFill="1" applyBorder="1" applyAlignment="1" applyProtection="1">
      <alignment/>
      <protection hidden="1"/>
    </xf>
    <xf numFmtId="2" fontId="3" fillId="0" borderId="26" xfId="0" applyNumberFormat="1" applyFont="1" applyBorder="1" applyAlignment="1">
      <alignment/>
    </xf>
    <xf numFmtId="2" fontId="25" fillId="40" borderId="27" xfId="0" applyNumberFormat="1" applyFont="1" applyFill="1" applyBorder="1" applyAlignment="1" applyProtection="1">
      <alignment/>
      <protection hidden="1"/>
    </xf>
    <xf numFmtId="0" fontId="18" fillId="43" borderId="0" xfId="0" applyFont="1" applyFill="1" applyAlignment="1" applyProtection="1">
      <alignment horizontal="center"/>
      <protection hidden="1"/>
    </xf>
    <xf numFmtId="164" fontId="18" fillId="43" borderId="0" xfId="0" applyNumberFormat="1" applyFont="1" applyFill="1" applyAlignment="1" applyProtection="1">
      <alignment horizontal="center"/>
      <protection hidden="1"/>
    </xf>
    <xf numFmtId="0" fontId="19" fillId="47" borderId="0" xfId="0" applyFont="1" applyFill="1" applyAlignment="1">
      <alignment/>
    </xf>
    <xf numFmtId="164" fontId="19" fillId="47" borderId="0" xfId="0" applyNumberFormat="1" applyFont="1" applyFill="1" applyBorder="1" applyAlignment="1" applyProtection="1">
      <alignment horizontal="center"/>
      <protection/>
    </xf>
    <xf numFmtId="164" fontId="26" fillId="47" borderId="0" xfId="0" applyNumberFormat="1" applyFont="1" applyFill="1" applyAlignment="1" applyProtection="1">
      <alignment horizontal="right" wrapText="1"/>
      <protection hidden="1"/>
    </xf>
    <xf numFmtId="164" fontId="19" fillId="47" borderId="0" xfId="0" applyNumberFormat="1" applyFont="1" applyFill="1" applyAlignment="1" applyProtection="1">
      <alignment horizontal="right"/>
      <protection hidden="1"/>
    </xf>
    <xf numFmtId="0" fontId="22" fillId="47" borderId="0" xfId="0" applyFont="1" applyFill="1" applyAlignment="1">
      <alignment horizontal="center"/>
    </xf>
    <xf numFmtId="0" fontId="0" fillId="47" borderId="0" xfId="0" applyFill="1" applyAlignment="1">
      <alignment/>
    </xf>
    <xf numFmtId="164" fontId="0" fillId="47" borderId="0" xfId="0" applyNumberFormat="1" applyFill="1" applyAlignment="1">
      <alignment/>
    </xf>
    <xf numFmtId="2" fontId="20" fillId="47" borderId="0" xfId="0" applyNumberFormat="1" applyFont="1" applyFill="1" applyAlignment="1">
      <alignment/>
    </xf>
    <xf numFmtId="164" fontId="19" fillId="47" borderId="0" xfId="0" applyNumberFormat="1" applyFont="1" applyFill="1" applyAlignment="1">
      <alignment wrapText="1"/>
    </xf>
    <xf numFmtId="164" fontId="19" fillId="47" borderId="0" xfId="0" applyNumberFormat="1" applyFont="1" applyFill="1" applyAlignment="1">
      <alignment/>
    </xf>
    <xf numFmtId="164" fontId="19" fillId="47" borderId="0" xfId="0" applyNumberFormat="1" applyFont="1" applyFill="1" applyAlignment="1" applyProtection="1">
      <alignment/>
      <protection hidden="1"/>
    </xf>
    <xf numFmtId="164" fontId="19" fillId="47" borderId="0" xfId="0" applyNumberFormat="1" applyFont="1" applyFill="1" applyBorder="1" applyAlignment="1" applyProtection="1">
      <alignment horizontal="center"/>
      <protection hidden="1"/>
    </xf>
    <xf numFmtId="168" fontId="19" fillId="47" borderId="0" xfId="0" applyNumberFormat="1" applyFont="1" applyFill="1" applyBorder="1" applyAlignment="1" applyProtection="1">
      <alignment horizontal="center"/>
      <protection hidden="1"/>
    </xf>
    <xf numFmtId="164" fontId="19" fillId="47" borderId="0" xfId="0" applyNumberFormat="1" applyFont="1" applyFill="1" applyAlignment="1" applyProtection="1">
      <alignment wrapText="1"/>
      <protection locked="0"/>
    </xf>
    <xf numFmtId="2" fontId="0" fillId="47" borderId="0" xfId="0" applyNumberFormat="1" applyFill="1" applyAlignment="1">
      <alignment/>
    </xf>
    <xf numFmtId="168" fontId="19" fillId="47" borderId="0" xfId="0" applyNumberFormat="1" applyFont="1" applyFill="1" applyBorder="1" applyAlignment="1" applyProtection="1">
      <alignment horizontal="center"/>
      <protection/>
    </xf>
    <xf numFmtId="164" fontId="19" fillId="47" borderId="0" xfId="0" applyNumberFormat="1" applyFont="1" applyFill="1" applyAlignment="1" applyProtection="1">
      <alignment horizontal="center"/>
      <protection hidden="1"/>
    </xf>
    <xf numFmtId="0" fontId="26" fillId="0" borderId="0" xfId="0" applyFont="1" applyFill="1" applyBorder="1" applyAlignment="1">
      <alignment/>
    </xf>
    <xf numFmtId="164" fontId="26" fillId="0" borderId="0" xfId="0" applyNumberFormat="1" applyFont="1" applyAlignment="1">
      <alignment/>
    </xf>
    <xf numFmtId="0" fontId="3" fillId="47" borderId="22" xfId="0" applyFont="1" applyFill="1" applyBorder="1" applyAlignment="1">
      <alignment/>
    </xf>
    <xf numFmtId="2" fontId="3" fillId="47" borderId="25" xfId="0" applyNumberFormat="1" applyFont="1" applyFill="1" applyBorder="1" applyAlignment="1" applyProtection="1">
      <alignment/>
      <protection hidden="1"/>
    </xf>
    <xf numFmtId="0" fontId="27" fillId="47" borderId="23" xfId="0" applyFont="1" applyFill="1" applyBorder="1" applyAlignment="1">
      <alignment/>
    </xf>
    <xf numFmtId="2" fontId="3" fillId="47" borderId="26" xfId="0" applyNumberFormat="1" applyFont="1" applyFill="1" applyBorder="1" applyAlignment="1">
      <alignment/>
    </xf>
    <xf numFmtId="164" fontId="0" fillId="47" borderId="0" xfId="0" applyNumberFormat="1" applyFill="1" applyAlignment="1" applyProtection="1">
      <alignment/>
      <protection hidden="1"/>
    </xf>
    <xf numFmtId="164" fontId="3" fillId="47" borderId="23" xfId="0" applyNumberFormat="1" applyFont="1" applyFill="1" applyBorder="1" applyAlignment="1">
      <alignment/>
    </xf>
    <xf numFmtId="0" fontId="3" fillId="47" borderId="23" xfId="0" applyFont="1" applyFill="1" applyBorder="1" applyAlignment="1">
      <alignment/>
    </xf>
    <xf numFmtId="0" fontId="25" fillId="47" borderId="24" xfId="0" applyFont="1" applyFill="1" applyBorder="1" applyAlignment="1">
      <alignment/>
    </xf>
    <xf numFmtId="2" fontId="25" fillId="47" borderId="27" xfId="0" applyNumberFormat="1" applyFont="1" applyFill="1" applyBorder="1" applyAlignment="1" applyProtection="1">
      <alignment/>
      <protection hidden="1"/>
    </xf>
    <xf numFmtId="0" fontId="19" fillId="47" borderId="21" xfId="0" applyFont="1" applyFill="1" applyBorder="1" applyAlignment="1">
      <alignment/>
    </xf>
    <xf numFmtId="164" fontId="19" fillId="47" borderId="21" xfId="0" applyNumberFormat="1" applyFont="1" applyFill="1" applyBorder="1" applyAlignment="1" applyProtection="1">
      <alignment/>
      <protection hidden="1"/>
    </xf>
    <xf numFmtId="0" fontId="19" fillId="47" borderId="0" xfId="0" applyFont="1" applyFill="1" applyAlignment="1">
      <alignment wrapText="1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 applyProtection="1">
      <alignment/>
      <protection hidden="1"/>
    </xf>
    <xf numFmtId="0" fontId="3" fillId="41" borderId="22" xfId="0" applyFont="1" applyFill="1" applyBorder="1" applyAlignment="1">
      <alignment/>
    </xf>
    <xf numFmtId="2" fontId="3" fillId="41" borderId="25" xfId="0" applyNumberFormat="1" applyFont="1" applyFill="1" applyBorder="1" applyAlignment="1" applyProtection="1">
      <alignment/>
      <protection hidden="1"/>
    </xf>
    <xf numFmtId="0" fontId="27" fillId="41" borderId="23" xfId="0" applyFont="1" applyFill="1" applyBorder="1" applyAlignment="1">
      <alignment/>
    </xf>
    <xf numFmtId="2" fontId="3" fillId="41" borderId="26" xfId="0" applyNumberFormat="1" applyFont="1" applyFill="1" applyBorder="1" applyAlignment="1">
      <alignment/>
    </xf>
    <xf numFmtId="164" fontId="3" fillId="41" borderId="23" xfId="0" applyNumberFormat="1" applyFont="1" applyFill="1" applyBorder="1" applyAlignment="1">
      <alignment/>
    </xf>
    <xf numFmtId="0" fontId="3" fillId="41" borderId="23" xfId="0" applyFont="1" applyFill="1" applyBorder="1" applyAlignment="1">
      <alignment/>
    </xf>
    <xf numFmtId="0" fontId="25" fillId="41" borderId="24" xfId="0" applyFont="1" applyFill="1" applyBorder="1" applyAlignment="1">
      <alignment/>
    </xf>
    <xf numFmtId="2" fontId="25" fillId="41" borderId="27" xfId="0" applyNumberFormat="1" applyFont="1" applyFill="1" applyBorder="1" applyAlignment="1" applyProtection="1">
      <alignment/>
      <protection hidden="1"/>
    </xf>
    <xf numFmtId="164" fontId="59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2" fillId="47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64" fontId="18" fillId="43" borderId="0" xfId="0" applyNumberFormat="1" applyFont="1" applyFill="1" applyAlignment="1" applyProtection="1">
      <alignment horizontal="center"/>
      <protection hidden="1"/>
    </xf>
    <xf numFmtId="0" fontId="18" fillId="43" borderId="0" xfId="0" applyFont="1" applyFill="1" applyAlignment="1" applyProtection="1">
      <alignment horizontal="center"/>
      <protection hidden="1"/>
    </xf>
    <xf numFmtId="0" fontId="14" fillId="48" borderId="28" xfId="56" applyFont="1" applyFill="1" applyBorder="1" applyAlignment="1" applyProtection="1">
      <alignment horizontal="center" vertical="center" wrapText="1"/>
      <protection/>
    </xf>
    <xf numFmtId="0" fontId="14" fillId="48" borderId="29" xfId="56" applyFont="1" applyFill="1" applyBorder="1" applyAlignment="1" applyProtection="1">
      <alignment horizontal="center" vertical="center" wrapText="1"/>
      <protection/>
    </xf>
    <xf numFmtId="0" fontId="4" fillId="48" borderId="30" xfId="56" applyFont="1" applyFill="1" applyBorder="1" applyAlignment="1" applyProtection="1">
      <alignment horizontal="center"/>
      <protection/>
    </xf>
    <xf numFmtId="0" fontId="4" fillId="48" borderId="31" xfId="56" applyFont="1" applyFill="1" applyBorder="1" applyAlignment="1" applyProtection="1">
      <alignment horizontal="center"/>
      <protection/>
    </xf>
    <xf numFmtId="0" fontId="4" fillId="48" borderId="10" xfId="56" applyFont="1" applyFill="1" applyBorder="1" applyAlignment="1" applyProtection="1">
      <alignment horizontal="center"/>
      <protection/>
    </xf>
    <xf numFmtId="0" fontId="4" fillId="48" borderId="14" xfId="56" applyFont="1" applyFill="1" applyBorder="1" applyAlignment="1" applyProtection="1">
      <alignment horizontal="center"/>
      <protection/>
    </xf>
    <xf numFmtId="0" fontId="9" fillId="33" borderId="0" xfId="56" applyFont="1" applyFill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21</xdr:row>
      <xdr:rowOff>0</xdr:rowOff>
    </xdr:from>
    <xdr:to>
      <xdr:col>6</xdr:col>
      <xdr:colOff>257175</xdr:colOff>
      <xdr:row>22</xdr:row>
      <xdr:rowOff>142875</xdr:rowOff>
    </xdr:to>
    <xdr:pic>
      <xdr:nvPicPr>
        <xdr:cNvPr id="1" name="cmdOpen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4419600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47625</xdr:colOff>
      <xdr:row>23</xdr:row>
      <xdr:rowOff>104775</xdr:rowOff>
    </xdr:from>
    <xdr:to>
      <xdr:col>6</xdr:col>
      <xdr:colOff>304800</xdr:colOff>
      <xdr:row>25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92442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26</xdr:row>
      <xdr:rowOff>9525</xdr:rowOff>
    </xdr:from>
    <xdr:to>
      <xdr:col>6</xdr:col>
      <xdr:colOff>285750</xdr:colOff>
      <xdr:row>27</xdr:row>
      <xdr:rowOff>152400</xdr:rowOff>
    </xdr:to>
    <xdr:pic>
      <xdr:nvPicPr>
        <xdr:cNvPr id="3" name="cmdEx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5419725"/>
          <a:ext cx="1552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21</xdr:row>
      <xdr:rowOff>0</xdr:rowOff>
    </xdr:from>
    <xdr:to>
      <xdr:col>6</xdr:col>
      <xdr:colOff>114300</xdr:colOff>
      <xdr:row>22</xdr:row>
      <xdr:rowOff>152400</xdr:rowOff>
    </xdr:to>
    <xdr:pic>
      <xdr:nvPicPr>
        <xdr:cNvPr id="1" name="cmdOpen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391025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47625</xdr:colOff>
      <xdr:row>23</xdr:row>
      <xdr:rowOff>104775</xdr:rowOff>
    </xdr:from>
    <xdr:to>
      <xdr:col>6</xdr:col>
      <xdr:colOff>161925</xdr:colOff>
      <xdr:row>25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9053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26</xdr:row>
      <xdr:rowOff>9525</xdr:rowOff>
    </xdr:from>
    <xdr:to>
      <xdr:col>6</xdr:col>
      <xdr:colOff>142875</xdr:colOff>
      <xdr:row>27</xdr:row>
      <xdr:rowOff>161925</xdr:rowOff>
    </xdr:to>
    <xdr:pic>
      <xdr:nvPicPr>
        <xdr:cNvPr id="3" name="cmdEx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5400675"/>
          <a:ext cx="1552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61"/>
  <sheetViews>
    <sheetView tabSelected="1" zoomScale="106" zoomScaleNormal="106" zoomScalePageLayoutView="0" workbookViewId="0" topLeftCell="A1">
      <pane ySplit="1" topLeftCell="A2" activePane="bottomLeft" state="frozen"/>
      <selection pane="topLeft" activeCell="A1" sqref="A1"/>
      <selection pane="bottomLeft" activeCell="A32" sqref="A32:IV375"/>
    </sheetView>
  </sheetViews>
  <sheetFormatPr defaultColWidth="9.140625" defaultRowHeight="15"/>
  <cols>
    <col min="1" max="1" width="20.00390625" style="0" customWidth="1"/>
    <col min="2" max="2" width="17.00390625" style="0" customWidth="1"/>
    <col min="3" max="3" width="8.7109375" style="2" customWidth="1"/>
    <col min="4" max="4" width="12.421875" style="0" customWidth="1"/>
    <col min="5" max="5" width="1.57421875" style="0" customWidth="1"/>
    <col min="6" max="6" width="19.28125" style="0" customWidth="1"/>
    <col min="7" max="7" width="10.8515625" style="0" customWidth="1"/>
    <col min="8" max="8" width="2.8515625" style="0" customWidth="1"/>
    <col min="9" max="9" width="21.00390625" style="0" customWidth="1"/>
    <col min="10" max="10" width="14.00390625" style="1" customWidth="1"/>
    <col min="11" max="11" width="10.421875" style="0" customWidth="1"/>
    <col min="12" max="12" width="11.57421875" style="0" customWidth="1"/>
    <col min="13" max="13" width="10.140625" style="0" customWidth="1"/>
    <col min="14" max="14" width="10.8515625" style="0" customWidth="1"/>
    <col min="15" max="15" width="11.28125" style="0" bestFit="1" customWidth="1"/>
    <col min="16" max="16" width="9.28125" style="0" bestFit="1" customWidth="1"/>
  </cols>
  <sheetData>
    <row r="1" spans="1:14" ht="42.75" customHeight="1">
      <c r="A1" s="45"/>
      <c r="B1" s="110"/>
      <c r="C1" s="119" t="s">
        <v>26</v>
      </c>
      <c r="D1" s="120" t="s">
        <v>32</v>
      </c>
      <c r="E1" s="45"/>
      <c r="F1" s="45"/>
      <c r="G1" s="45"/>
      <c r="H1" s="45"/>
      <c r="I1" s="45"/>
      <c r="J1" s="46"/>
      <c r="K1" s="45"/>
      <c r="L1" s="45"/>
      <c r="M1" s="45"/>
      <c r="N1" s="45"/>
    </row>
    <row r="2" spans="1:11" ht="15">
      <c r="A2" s="45" t="s">
        <v>23</v>
      </c>
      <c r="B2" s="112">
        <v>4576.2</v>
      </c>
      <c r="C2" s="124">
        <f>ROUND(B2/174,2)</f>
        <v>26.3</v>
      </c>
      <c r="D2" s="111">
        <f>B3*2</f>
        <v>80</v>
      </c>
      <c r="E2" s="45"/>
      <c r="F2" s="97" t="s">
        <v>31</v>
      </c>
      <c r="G2" s="97"/>
      <c r="H2" s="45"/>
      <c r="I2" s="90" t="s">
        <v>145</v>
      </c>
      <c r="J2" s="91">
        <f>IF(B4=998,0,IF(B4&lt;&gt;998,J17-B31))</f>
        <v>1801.44</v>
      </c>
      <c r="K2" s="48"/>
    </row>
    <row r="3" spans="1:11" ht="15">
      <c r="A3" s="45" t="s">
        <v>24</v>
      </c>
      <c r="B3" s="112">
        <v>40</v>
      </c>
      <c r="C3" s="87"/>
      <c r="D3" s="46"/>
      <c r="E3" s="45"/>
      <c r="F3" s="99" t="s">
        <v>153</v>
      </c>
      <c r="G3" s="121">
        <f>D85</f>
        <v>0</v>
      </c>
      <c r="H3" s="45"/>
      <c r="I3" s="93" t="s">
        <v>144</v>
      </c>
      <c r="J3" s="94">
        <f>IF(B5=998,0,IF(B5&lt;&gt;998,J17-B31))</f>
        <v>1801.44</v>
      </c>
      <c r="K3" s="48"/>
    </row>
    <row r="4" spans="1:11" ht="15">
      <c r="A4" s="45" t="s">
        <v>114</v>
      </c>
      <c r="B4" s="107" t="str">
        <f>IF(B97="Single","S",IF(B97="Married","M"))</f>
        <v>M</v>
      </c>
      <c r="C4" s="87"/>
      <c r="D4" s="46"/>
      <c r="E4" s="45"/>
      <c r="F4" s="45" t="s">
        <v>147</v>
      </c>
      <c r="G4" s="86">
        <f>Deductions_1/2</f>
        <v>0</v>
      </c>
      <c r="H4" s="45"/>
      <c r="I4" s="95" t="s">
        <v>21</v>
      </c>
      <c r="J4" s="96">
        <f>J17-B21-B22-B23-B28-B29-B30</f>
        <v>2045.57</v>
      </c>
      <c r="K4" s="48"/>
    </row>
    <row r="5" spans="1:12" ht="15">
      <c r="A5" s="45" t="s">
        <v>115</v>
      </c>
      <c r="B5" s="113">
        <v>0</v>
      </c>
      <c r="C5" s="92"/>
      <c r="D5" s="46"/>
      <c r="E5" s="45"/>
      <c r="F5" s="45" t="s">
        <v>19</v>
      </c>
      <c r="G5" s="86">
        <f>Deductions_2/2</f>
        <v>0</v>
      </c>
      <c r="H5" s="45"/>
      <c r="K5" s="48"/>
      <c r="L5" s="1"/>
    </row>
    <row r="6" spans="1:12" ht="15">
      <c r="A6" s="45" t="s">
        <v>116</v>
      </c>
      <c r="B6" s="107" t="str">
        <f>IF(B101="Single","S",IF(B101="Married","M",IF(B101="Head of Household","H")))</f>
        <v>M</v>
      </c>
      <c r="C6" s="87"/>
      <c r="D6" s="46"/>
      <c r="E6" s="45"/>
      <c r="F6" s="45" t="s">
        <v>18</v>
      </c>
      <c r="G6" s="86">
        <f>Deductions_3/2</f>
        <v>0</v>
      </c>
      <c r="H6" s="45"/>
      <c r="I6" s="97" t="s">
        <v>30</v>
      </c>
      <c r="J6" s="97"/>
      <c r="K6" s="48"/>
      <c r="L6" s="47"/>
    </row>
    <row r="7" spans="1:12" ht="15">
      <c r="A7" s="45" t="s">
        <v>117</v>
      </c>
      <c r="B7" s="114">
        <v>0</v>
      </c>
      <c r="C7" s="87"/>
      <c r="D7" s="46"/>
      <c r="E7" s="45"/>
      <c r="F7" s="45" t="s">
        <v>17</v>
      </c>
      <c r="G7" s="86">
        <f>Deductions_4/2</f>
        <v>0</v>
      </c>
      <c r="H7" s="45"/>
      <c r="I7" s="45" t="s">
        <v>28</v>
      </c>
      <c r="J7" s="86">
        <f>G125</f>
        <v>185.216</v>
      </c>
      <c r="L7" s="47"/>
    </row>
    <row r="8" spans="1:10" ht="15">
      <c r="A8" s="45" t="s">
        <v>118</v>
      </c>
      <c r="B8" s="114"/>
      <c r="C8" s="87"/>
      <c r="D8" s="46"/>
      <c r="E8" s="45"/>
      <c r="F8" s="45" t="s">
        <v>15</v>
      </c>
      <c r="G8" s="86">
        <f>Deductions_05/2</f>
        <v>0</v>
      </c>
      <c r="H8" s="45"/>
      <c r="I8" s="45" t="s">
        <v>29</v>
      </c>
      <c r="J8" s="86">
        <f>IF(G141&gt;=0,G141,0)</f>
        <v>34.25</v>
      </c>
    </row>
    <row r="9" spans="1:8" ht="15">
      <c r="A9" s="45"/>
      <c r="B9" s="46"/>
      <c r="C9" s="87"/>
      <c r="D9" s="46"/>
      <c r="E9" s="45"/>
      <c r="F9" s="45" t="s">
        <v>13</v>
      </c>
      <c r="G9" s="86">
        <f>Deductions_06/2</f>
        <v>0</v>
      </c>
      <c r="H9" s="45"/>
    </row>
    <row r="10" spans="1:10" ht="15">
      <c r="A10" s="45" t="s">
        <v>161</v>
      </c>
      <c r="B10" s="100" t="s">
        <v>146</v>
      </c>
      <c r="C10" s="87"/>
      <c r="D10" s="46"/>
      <c r="E10" s="45"/>
      <c r="F10" s="45" t="s">
        <v>11</v>
      </c>
      <c r="G10" s="86">
        <f>Deductions_07/2</f>
        <v>0</v>
      </c>
      <c r="H10" s="45"/>
      <c r="I10" s="97" t="s">
        <v>154</v>
      </c>
      <c r="J10" s="97"/>
    </row>
    <row r="11" spans="1:10" ht="15">
      <c r="A11" s="45"/>
      <c r="B11" s="45"/>
      <c r="C11" s="87"/>
      <c r="D11" s="46"/>
      <c r="E11" s="45"/>
      <c r="F11" s="45" t="s">
        <v>10</v>
      </c>
      <c r="G11" s="86">
        <f>Deductions_08/2</f>
        <v>0</v>
      </c>
      <c r="H11" s="45"/>
      <c r="I11" s="45" t="s">
        <v>6</v>
      </c>
      <c r="J11" s="86">
        <f>IF(B14="Y",J4*1.45%,IF(B14="N",0))</f>
        <v>29.660764999999998</v>
      </c>
    </row>
    <row r="12" spans="1:10" ht="15">
      <c r="A12" s="98" t="s">
        <v>157</v>
      </c>
      <c r="B12" s="99"/>
      <c r="C12" s="87"/>
      <c r="D12" s="46"/>
      <c r="E12" s="45"/>
      <c r="F12" s="45" t="s">
        <v>9</v>
      </c>
      <c r="G12" s="86">
        <f>Deductions_09/2</f>
        <v>0</v>
      </c>
      <c r="H12" s="45"/>
      <c r="I12" s="45" t="s">
        <v>4</v>
      </c>
      <c r="J12" s="86">
        <f>IF(B13="Y",J4*6.2%,IF(B13="N",0))</f>
        <v>126.82534</v>
      </c>
    </row>
    <row r="13" spans="1:10" ht="15">
      <c r="A13" s="99" t="s">
        <v>4</v>
      </c>
      <c r="B13" s="100" t="str">
        <f>IF(J34="FICA","Y",IF(J34&lt;&gt;"FICA","N"))</f>
        <v>Y</v>
      </c>
      <c r="C13" s="87"/>
      <c r="D13" s="46"/>
      <c r="E13" s="45"/>
      <c r="F13" s="45" t="s">
        <v>7</v>
      </c>
      <c r="G13" s="86">
        <f>Deductions_010/2</f>
        <v>0</v>
      </c>
      <c r="H13" s="45"/>
      <c r="I13" s="102" t="s">
        <v>2</v>
      </c>
      <c r="J13" s="103">
        <f>SUM(J10:J12)</f>
        <v>156.486105</v>
      </c>
    </row>
    <row r="14" spans="1:8" ht="15">
      <c r="A14" s="99" t="s">
        <v>6</v>
      </c>
      <c r="B14" s="100" t="str">
        <f>IF(J34="FICA","Y",IF(J34="Medicare","Y",IF(J34="Neither","N")))</f>
        <v>Y</v>
      </c>
      <c r="C14" s="87"/>
      <c r="D14" s="46"/>
      <c r="E14" s="45"/>
      <c r="F14" s="122" t="s">
        <v>1</v>
      </c>
      <c r="G14" s="123">
        <f>SUM(G3:G13)</f>
        <v>0</v>
      </c>
      <c r="H14" s="45"/>
    </row>
    <row r="15" spans="1:8" ht="15">
      <c r="A15" s="99" t="s">
        <v>146</v>
      </c>
      <c r="B15" s="101" t="str">
        <f>IF(J34="Neither","Y",IF(J34="FICA","N",IF(J34="Medicare","N")))</f>
        <v>N</v>
      </c>
      <c r="C15" s="87"/>
      <c r="D15" s="46"/>
      <c r="E15" s="45"/>
      <c r="H15" s="45"/>
    </row>
    <row r="16" spans="1:10" ht="15.75" thickBot="1">
      <c r="A16" s="99"/>
      <c r="B16" s="104"/>
      <c r="C16" s="87"/>
      <c r="D16" s="46"/>
      <c r="E16" s="45"/>
      <c r="F16" s="45"/>
      <c r="G16" s="45"/>
      <c r="H16" s="45"/>
      <c r="I16" s="149" t="s">
        <v>169</v>
      </c>
      <c r="J16" s="150"/>
    </row>
    <row r="17" spans="1:10" ht="15.75">
      <c r="A17" s="97" t="s">
        <v>27</v>
      </c>
      <c r="B17" s="97"/>
      <c r="C17" s="87"/>
      <c r="D17" s="46"/>
      <c r="E17" s="45"/>
      <c r="F17" s="45"/>
      <c r="G17" s="45"/>
      <c r="H17" s="45"/>
      <c r="I17" s="115" t="s">
        <v>25</v>
      </c>
      <c r="J17" s="127">
        <f>ROUND(C2*D2,2)</f>
        <v>2104</v>
      </c>
    </row>
    <row r="18" spans="1:10" ht="15.75">
      <c r="A18" s="45"/>
      <c r="B18" s="45"/>
      <c r="C18" s="87"/>
      <c r="D18" s="46"/>
      <c r="E18" s="45"/>
      <c r="H18" s="45"/>
      <c r="I18" s="125" t="s">
        <v>162</v>
      </c>
      <c r="J18" s="128"/>
    </row>
    <row r="19" spans="1:10" ht="15.75">
      <c r="A19" s="45" t="s">
        <v>20</v>
      </c>
      <c r="B19" s="86">
        <f>IF(AND(Retirement_2="UCRP",J36="UCRP2"),J39,IF(Retirement_2="UCRP",J38,IF(Retirement_2="DCP CAS",0,IF(Retirement_2="None",0))))</f>
        <v>149.32</v>
      </c>
      <c r="C19" s="87"/>
      <c r="D19" s="46"/>
      <c r="E19" s="45"/>
      <c r="F19" s="45"/>
      <c r="G19" s="46"/>
      <c r="H19" s="45"/>
      <c r="I19" s="117" t="s">
        <v>4</v>
      </c>
      <c r="J19" s="128">
        <f>J12</f>
        <v>126.82534</v>
      </c>
    </row>
    <row r="20" spans="1:10" ht="15.75">
      <c r="A20" s="45" t="s">
        <v>160</v>
      </c>
      <c r="B20" s="86">
        <f>IF(Retirement_2="DCP CAS",F56,IF(Retirement_2="UCRP",0,IF(Retirement_2="None",0)))</f>
        <v>0</v>
      </c>
      <c r="C20" s="87"/>
      <c r="D20" s="46"/>
      <c r="E20" s="45"/>
      <c r="F20" s="45"/>
      <c r="G20" s="46"/>
      <c r="H20" s="45"/>
      <c r="I20" s="116" t="s">
        <v>6</v>
      </c>
      <c r="J20" s="128">
        <f>J11</f>
        <v>29.660764999999998</v>
      </c>
    </row>
    <row r="21" spans="1:10" ht="16.5" thickBot="1">
      <c r="A21" t="s">
        <v>16</v>
      </c>
      <c r="B21" s="173">
        <f>Medical_Premium/2</f>
        <v>58.43</v>
      </c>
      <c r="C21" s="87"/>
      <c r="D21" s="46"/>
      <c r="E21" s="45"/>
      <c r="F21" s="45"/>
      <c r="G21" s="46"/>
      <c r="H21" s="45"/>
      <c r="I21" s="116" t="s">
        <v>167</v>
      </c>
      <c r="J21" s="128">
        <f>B31+G14+J7+J8</f>
        <v>522.0260000000001</v>
      </c>
    </row>
    <row r="22" spans="1:10" ht="16.5" thickBot="1">
      <c r="A22" s="45" t="s">
        <v>166</v>
      </c>
      <c r="B22" s="173">
        <f>Health_FSA/2</f>
        <v>0</v>
      </c>
      <c r="C22" s="87"/>
      <c r="D22" s="46"/>
      <c r="E22" s="45"/>
      <c r="F22" s="45"/>
      <c r="G22" s="46"/>
      <c r="H22" s="45"/>
      <c r="I22" s="118" t="s">
        <v>163</v>
      </c>
      <c r="J22" s="129">
        <f>ROUND(J17-J19-J20-J21,2)</f>
        <v>1425.49</v>
      </c>
    </row>
    <row r="23" spans="1:8" ht="15">
      <c r="A23" s="45" t="s">
        <v>12</v>
      </c>
      <c r="B23" s="173">
        <f>DepCare_FSA/2</f>
        <v>0</v>
      </c>
      <c r="C23" s="87"/>
      <c r="D23" s="46"/>
      <c r="E23" s="45"/>
      <c r="F23" s="45"/>
      <c r="G23" s="45"/>
      <c r="H23" s="45"/>
    </row>
    <row r="24" spans="1:11" ht="15">
      <c r="A24" s="45" t="s">
        <v>33</v>
      </c>
      <c r="B24" s="173">
        <f>_403B_Flat/2</f>
        <v>0</v>
      </c>
      <c r="C24" s="87"/>
      <c r="D24" s="46"/>
      <c r="E24" s="45"/>
      <c r="F24" s="45"/>
      <c r="G24" s="45"/>
      <c r="H24" s="45"/>
      <c r="K24" s="1"/>
    </row>
    <row r="25" spans="1:10" ht="15.75" thickBot="1">
      <c r="A25" s="45" t="s">
        <v>34</v>
      </c>
      <c r="B25" s="173">
        <f>_403B_Percent/2</f>
        <v>94.81</v>
      </c>
      <c r="C25" s="87"/>
      <c r="D25" s="46"/>
      <c r="E25" s="45"/>
      <c r="F25" s="45"/>
      <c r="G25" s="45"/>
      <c r="H25" s="45"/>
      <c r="I25" s="149" t="s">
        <v>170</v>
      </c>
      <c r="J25" s="150"/>
    </row>
    <row r="26" spans="1:10" ht="15.75">
      <c r="A26" s="45" t="s">
        <v>35</v>
      </c>
      <c r="B26" s="173">
        <f>_457B_Flat/2</f>
        <v>0</v>
      </c>
      <c r="C26" s="87"/>
      <c r="D26" s="46"/>
      <c r="E26" s="45"/>
      <c r="F26" s="45"/>
      <c r="G26" s="45"/>
      <c r="H26" s="45"/>
      <c r="I26" s="165" t="s">
        <v>25</v>
      </c>
      <c r="J26" s="166">
        <f>J199</f>
        <v>1052</v>
      </c>
    </row>
    <row r="27" spans="1:10" ht="15.75">
      <c r="A27" s="45" t="s">
        <v>36</v>
      </c>
      <c r="B27" s="173">
        <f>_457B_Percent/2</f>
        <v>0</v>
      </c>
      <c r="C27" s="87"/>
      <c r="D27" s="46"/>
      <c r="E27" s="45"/>
      <c r="F27" s="45"/>
      <c r="G27" s="45"/>
      <c r="H27" s="45"/>
      <c r="I27" s="167" t="s">
        <v>162</v>
      </c>
      <c r="J27" s="168"/>
    </row>
    <row r="28" spans="1:10" ht="15.75">
      <c r="A28" s="45" t="s">
        <v>8</v>
      </c>
      <c r="B28" s="173">
        <f>Parking_Pretaxed/2</f>
        <v>0</v>
      </c>
      <c r="C28" s="87"/>
      <c r="D28" s="46"/>
      <c r="E28" s="45"/>
      <c r="F28" s="45"/>
      <c r="G28" s="45"/>
      <c r="H28" s="45"/>
      <c r="I28" s="169" t="s">
        <v>4</v>
      </c>
      <c r="J28" s="168">
        <f>J201</f>
        <v>40.09194000000001</v>
      </c>
    </row>
    <row r="29" spans="1:10" ht="15.75">
      <c r="A29" s="45" t="s">
        <v>5</v>
      </c>
      <c r="B29" s="173">
        <f>Vanpool_Pretaxed/2</f>
        <v>0</v>
      </c>
      <c r="C29" s="87"/>
      <c r="D29" s="46"/>
      <c r="E29" s="45"/>
      <c r="F29" s="45"/>
      <c r="G29" s="45"/>
      <c r="H29" s="45"/>
      <c r="I29" s="170" t="s">
        <v>6</v>
      </c>
      <c r="J29" s="168">
        <f>J202</f>
        <v>13.841265</v>
      </c>
    </row>
    <row r="30" spans="1:10" ht="16.5" thickBot="1">
      <c r="A30" s="45" t="s">
        <v>148</v>
      </c>
      <c r="B30" s="173">
        <f>IF(J41="UCLA",Transit_Pretaxed_Use,IF(J41&lt;&gt;"UCLA",J43))</f>
        <v>0</v>
      </c>
      <c r="C30" s="87"/>
      <c r="D30" s="46"/>
      <c r="E30" s="45"/>
      <c r="F30" s="45"/>
      <c r="G30" s="45"/>
      <c r="H30" s="45"/>
      <c r="I30" s="170" t="s">
        <v>167</v>
      </c>
      <c r="J30" s="168">
        <f>J203</f>
        <v>210.06</v>
      </c>
    </row>
    <row r="31" spans="1:10" ht="17.25" customHeight="1" thickBot="1">
      <c r="A31" s="105" t="s">
        <v>3</v>
      </c>
      <c r="B31" s="126">
        <f>SUM(B19:B30)</f>
        <v>302.56</v>
      </c>
      <c r="C31" s="106"/>
      <c r="D31" s="46"/>
      <c r="E31" s="45"/>
      <c r="F31" s="45"/>
      <c r="G31" s="45"/>
      <c r="H31" s="45"/>
      <c r="I31" s="171" t="s">
        <v>163</v>
      </c>
      <c r="J31" s="172">
        <f>J204</f>
        <v>788.01</v>
      </c>
    </row>
    <row r="32" spans="3:10" s="53" customFormat="1" ht="7.5" customHeight="1" hidden="1">
      <c r="C32" s="52"/>
      <c r="F32" s="49"/>
      <c r="G32" s="49"/>
      <c r="I32" s="163"/>
      <c r="J32" s="164"/>
    </row>
    <row r="33" spans="2:7" s="53" customFormat="1" ht="15" hidden="1">
      <c r="B33" s="49"/>
      <c r="C33" s="52"/>
      <c r="F33" s="49"/>
      <c r="G33" s="49"/>
    </row>
    <row r="34" spans="1:10" s="53" customFormat="1" ht="15" hidden="1">
      <c r="A34" s="50" t="s">
        <v>57</v>
      </c>
      <c r="B34" s="51">
        <f>J17</f>
        <v>2104</v>
      </c>
      <c r="C34" s="52"/>
      <c r="D34" s="109"/>
      <c r="I34" s="53" t="s">
        <v>159</v>
      </c>
      <c r="J34" s="53" t="s">
        <v>2</v>
      </c>
    </row>
    <row r="35" spans="3:10" s="53" customFormat="1" ht="15" hidden="1">
      <c r="C35" s="52"/>
      <c r="I35" s="53" t="s">
        <v>158</v>
      </c>
      <c r="J35" s="53" t="s">
        <v>168</v>
      </c>
    </row>
    <row r="36" spans="1:10" s="53" customFormat="1" ht="15" hidden="1">
      <c r="A36" s="54"/>
      <c r="B36" s="55" t="s">
        <v>54</v>
      </c>
      <c r="C36" s="56" t="s">
        <v>22</v>
      </c>
      <c r="D36" s="56" t="s">
        <v>55</v>
      </c>
      <c r="E36" s="57"/>
      <c r="F36" s="57" t="s">
        <v>56</v>
      </c>
      <c r="I36" s="53" t="s">
        <v>58</v>
      </c>
      <c r="J36" s="49" t="s">
        <v>146</v>
      </c>
    </row>
    <row r="37" spans="1:6" s="53" customFormat="1" ht="15" hidden="1">
      <c r="A37" s="54" t="s">
        <v>50</v>
      </c>
      <c r="B37" s="58">
        <v>0.08</v>
      </c>
      <c r="C37" s="59">
        <f>B34*B37</f>
        <v>168.32</v>
      </c>
      <c r="D37" s="59">
        <v>19</v>
      </c>
      <c r="E37" s="59"/>
      <c r="F37" s="60">
        <f aca="true" t="shared" si="0" ref="F37:F50">C37-D37</f>
        <v>149.32</v>
      </c>
    </row>
    <row r="38" spans="1:10" s="53" customFormat="1" ht="15" hidden="1">
      <c r="A38" s="54" t="s">
        <v>49</v>
      </c>
      <c r="B38" s="58">
        <v>0.05</v>
      </c>
      <c r="C38" s="59">
        <f>B34*B38</f>
        <v>105.2</v>
      </c>
      <c r="D38" s="59">
        <v>19</v>
      </c>
      <c r="E38" s="59"/>
      <c r="F38" s="60">
        <f t="shared" si="0"/>
        <v>86.2</v>
      </c>
      <c r="I38" s="53" t="s">
        <v>50</v>
      </c>
      <c r="J38" s="108">
        <f>F37</f>
        <v>149.32</v>
      </c>
    </row>
    <row r="39" spans="1:10" s="53" customFormat="1" ht="15" hidden="1">
      <c r="A39" s="54" t="s">
        <v>38</v>
      </c>
      <c r="B39" s="58">
        <v>0.05</v>
      </c>
      <c r="C39" s="59">
        <f>B34*B39</f>
        <v>105.2</v>
      </c>
      <c r="D39" s="59">
        <v>19</v>
      </c>
      <c r="E39" s="59"/>
      <c r="F39" s="60">
        <f t="shared" si="0"/>
        <v>86.2</v>
      </c>
      <c r="I39" s="53" t="s">
        <v>164</v>
      </c>
      <c r="J39" s="108">
        <f>F52</f>
        <v>54.64</v>
      </c>
    </row>
    <row r="40" spans="1:10" s="53" customFormat="1" ht="15" hidden="1">
      <c r="A40" s="54" t="s">
        <v>39</v>
      </c>
      <c r="B40" s="58">
        <v>0.08</v>
      </c>
      <c r="C40" s="59">
        <f>B34*B40</f>
        <v>168.32</v>
      </c>
      <c r="D40" s="59">
        <v>19</v>
      </c>
      <c r="E40" s="59"/>
      <c r="F40" s="60">
        <f t="shared" si="0"/>
        <v>149.32</v>
      </c>
      <c r="I40" s="53" t="s">
        <v>165</v>
      </c>
      <c r="J40" s="108">
        <f>F56</f>
        <v>157.79999999999998</v>
      </c>
    </row>
    <row r="41" spans="1:10" s="53" customFormat="1" ht="15" hidden="1">
      <c r="A41" s="54" t="s">
        <v>40</v>
      </c>
      <c r="B41" s="58">
        <v>0.05</v>
      </c>
      <c r="C41" s="59">
        <f>B34*B41</f>
        <v>105.2</v>
      </c>
      <c r="D41" s="59">
        <v>19</v>
      </c>
      <c r="E41" s="59"/>
      <c r="F41" s="60">
        <f t="shared" si="0"/>
        <v>86.2</v>
      </c>
      <c r="I41" s="53" t="s">
        <v>171</v>
      </c>
      <c r="J41" s="174" t="s">
        <v>173</v>
      </c>
    </row>
    <row r="42" spans="1:10" s="53" customFormat="1" ht="15" hidden="1">
      <c r="A42" s="54" t="s">
        <v>52</v>
      </c>
      <c r="B42" s="58">
        <v>0.08</v>
      </c>
      <c r="C42" s="59">
        <f>B34*B42</f>
        <v>168.32</v>
      </c>
      <c r="D42" s="59">
        <v>19</v>
      </c>
      <c r="E42" s="59"/>
      <c r="F42" s="60">
        <f t="shared" si="0"/>
        <v>149.32</v>
      </c>
      <c r="I42" s="53" t="s">
        <v>172</v>
      </c>
      <c r="J42" s="49"/>
    </row>
    <row r="43" spans="1:10" s="53" customFormat="1" ht="15" hidden="1">
      <c r="A43" s="54" t="s">
        <v>42</v>
      </c>
      <c r="B43" s="58">
        <v>0.05</v>
      </c>
      <c r="C43" s="59">
        <f>B34*B43</f>
        <v>105.2</v>
      </c>
      <c r="D43" s="59">
        <v>19</v>
      </c>
      <c r="E43" s="59"/>
      <c r="F43" s="60">
        <f t="shared" si="0"/>
        <v>86.2</v>
      </c>
      <c r="J43" s="49">
        <f>Transit_Pretaxed_Use/2</f>
        <v>0</v>
      </c>
    </row>
    <row r="44" spans="1:6" s="53" customFormat="1" ht="15" hidden="1">
      <c r="A44" s="54" t="s">
        <v>43</v>
      </c>
      <c r="B44" s="58">
        <v>0.05</v>
      </c>
      <c r="C44" s="59">
        <f>B34*B44</f>
        <v>105.2</v>
      </c>
      <c r="D44" s="59">
        <v>19</v>
      </c>
      <c r="E44" s="59"/>
      <c r="F44" s="60">
        <f t="shared" si="0"/>
        <v>86.2</v>
      </c>
    </row>
    <row r="45" spans="1:6" s="53" customFormat="1" ht="15" hidden="1">
      <c r="A45" s="54" t="s">
        <v>44</v>
      </c>
      <c r="B45" s="58">
        <v>0.05</v>
      </c>
      <c r="C45" s="59">
        <f>B34*B45</f>
        <v>105.2</v>
      </c>
      <c r="D45" s="59">
        <v>19</v>
      </c>
      <c r="E45" s="59"/>
      <c r="F45" s="60">
        <f t="shared" si="0"/>
        <v>86.2</v>
      </c>
    </row>
    <row r="46" spans="1:6" s="53" customFormat="1" ht="15" hidden="1">
      <c r="A46" s="54" t="s">
        <v>45</v>
      </c>
      <c r="B46" s="58">
        <v>0.05</v>
      </c>
      <c r="C46" s="59">
        <f>B34*B46</f>
        <v>105.2</v>
      </c>
      <c r="D46" s="59">
        <v>19</v>
      </c>
      <c r="E46" s="59"/>
      <c r="F46" s="60">
        <f t="shared" si="0"/>
        <v>86.2</v>
      </c>
    </row>
    <row r="47" spans="1:10" s="53" customFormat="1" ht="15" hidden="1">
      <c r="A47" s="54" t="s">
        <v>46</v>
      </c>
      <c r="B47" s="58">
        <v>0.05</v>
      </c>
      <c r="C47" s="59">
        <f>B34*B47</f>
        <v>105.2</v>
      </c>
      <c r="D47" s="59">
        <v>19</v>
      </c>
      <c r="E47" s="59"/>
      <c r="F47" s="60">
        <f t="shared" si="0"/>
        <v>86.2</v>
      </c>
      <c r="J47" s="49"/>
    </row>
    <row r="48" spans="1:10" s="53" customFormat="1" ht="15" hidden="1">
      <c r="A48" s="54" t="s">
        <v>47</v>
      </c>
      <c r="B48" s="58">
        <v>0.05</v>
      </c>
      <c r="C48" s="59">
        <f>B34*B48</f>
        <v>105.2</v>
      </c>
      <c r="D48" s="59">
        <v>19</v>
      </c>
      <c r="E48" s="59"/>
      <c r="F48" s="60">
        <f t="shared" si="0"/>
        <v>86.2</v>
      </c>
      <c r="J48" s="49"/>
    </row>
    <row r="49" spans="1:10" s="53" customFormat="1" ht="15" hidden="1">
      <c r="A49" s="54" t="s">
        <v>53</v>
      </c>
      <c r="B49" s="58">
        <v>0.05</v>
      </c>
      <c r="C49" s="59">
        <f>B34*B49</f>
        <v>105.2</v>
      </c>
      <c r="D49" s="59">
        <v>19</v>
      </c>
      <c r="E49" s="59"/>
      <c r="F49" s="60">
        <f>C49-D49</f>
        <v>86.2</v>
      </c>
      <c r="J49" s="49"/>
    </row>
    <row r="50" spans="1:10" s="53" customFormat="1" ht="15" hidden="1">
      <c r="A50" s="54" t="s">
        <v>48</v>
      </c>
      <c r="B50" s="58">
        <v>0.05</v>
      </c>
      <c r="C50" s="59">
        <f>B34*B50</f>
        <v>105.2</v>
      </c>
      <c r="D50" s="59">
        <v>19</v>
      </c>
      <c r="E50" s="59"/>
      <c r="F50" s="60">
        <f t="shared" si="0"/>
        <v>86.2</v>
      </c>
      <c r="J50" s="49"/>
    </row>
    <row r="51" spans="1:10" s="53" customFormat="1" ht="15" hidden="1">
      <c r="A51" s="54"/>
      <c r="B51" s="58"/>
      <c r="C51" s="59"/>
      <c r="D51" s="59"/>
      <c r="E51" s="59"/>
      <c r="F51" s="60"/>
      <c r="J51" s="49"/>
    </row>
    <row r="52" spans="1:10" s="53" customFormat="1" ht="15" hidden="1">
      <c r="A52" s="54" t="s">
        <v>51</v>
      </c>
      <c r="B52" s="58">
        <v>0.035</v>
      </c>
      <c r="C52" s="59">
        <f>B34*B52</f>
        <v>73.64</v>
      </c>
      <c r="D52" s="59">
        <v>19</v>
      </c>
      <c r="E52" s="59"/>
      <c r="F52" s="60">
        <f>C52-D52</f>
        <v>54.64</v>
      </c>
      <c r="J52" s="49"/>
    </row>
    <row r="53" spans="1:10" s="53" customFormat="1" ht="15" hidden="1">
      <c r="A53" s="54" t="s">
        <v>41</v>
      </c>
      <c r="B53" s="58">
        <v>0.035</v>
      </c>
      <c r="C53" s="59">
        <f>B34*B53</f>
        <v>73.64</v>
      </c>
      <c r="D53" s="59">
        <v>19</v>
      </c>
      <c r="E53" s="59"/>
      <c r="F53" s="60">
        <f>C53-D53</f>
        <v>54.64</v>
      </c>
      <c r="J53" s="49"/>
    </row>
    <row r="54" spans="1:10" s="53" customFormat="1" ht="15" hidden="1">
      <c r="A54" s="54"/>
      <c r="B54" s="58"/>
      <c r="C54" s="59"/>
      <c r="D54" s="59"/>
      <c r="E54" s="59"/>
      <c r="F54" s="60"/>
      <c r="J54" s="49"/>
    </row>
    <row r="55" spans="1:10" s="53" customFormat="1" ht="15" hidden="1">
      <c r="A55" s="54"/>
      <c r="B55" s="58"/>
      <c r="C55" s="59"/>
      <c r="D55" s="59"/>
      <c r="E55" s="59"/>
      <c r="F55" s="60"/>
      <c r="J55" s="49"/>
    </row>
    <row r="56" spans="1:10" s="53" customFormat="1" ht="15" hidden="1">
      <c r="A56" s="54" t="s">
        <v>37</v>
      </c>
      <c r="B56" s="58">
        <v>0.075</v>
      </c>
      <c r="C56" s="59">
        <f>B34*B56</f>
        <v>157.79999999999998</v>
      </c>
      <c r="D56" s="59">
        <v>0</v>
      </c>
      <c r="E56" s="59"/>
      <c r="F56" s="60">
        <f>C56-D56</f>
        <v>157.79999999999998</v>
      </c>
      <c r="J56" s="49"/>
    </row>
    <row r="57" spans="3:10" s="53" customFormat="1" ht="15" hidden="1">
      <c r="C57" s="52"/>
      <c r="J57" s="49"/>
    </row>
    <row r="58" spans="1:10" s="53" customFormat="1" ht="15.75" hidden="1">
      <c r="A58" s="61" t="s">
        <v>58</v>
      </c>
      <c r="B58" s="61" t="s">
        <v>62</v>
      </c>
      <c r="C58" s="61" t="s">
        <v>59</v>
      </c>
      <c r="D58" s="61" t="s">
        <v>60</v>
      </c>
      <c r="E58" s="61"/>
      <c r="F58" s="61" t="s">
        <v>61</v>
      </c>
      <c r="J58" s="49"/>
    </row>
    <row r="59" spans="1:10" s="53" customFormat="1" ht="15.75" hidden="1">
      <c r="A59" s="62" t="s">
        <v>39</v>
      </c>
      <c r="B59" s="63">
        <v>0.0144</v>
      </c>
      <c r="C59" s="62">
        <f>B34*B59</f>
        <v>30.2976</v>
      </c>
      <c r="D59" s="63">
        <v>0.00475</v>
      </c>
      <c r="E59" s="62"/>
      <c r="F59" s="62">
        <f>B34*D59</f>
        <v>9.994</v>
      </c>
      <c r="J59" s="49"/>
    </row>
    <row r="60" spans="1:10" s="53" customFormat="1" ht="15.75" hidden="1">
      <c r="A60" s="62" t="s">
        <v>40</v>
      </c>
      <c r="B60" s="63">
        <v>0.015</v>
      </c>
      <c r="C60" s="62">
        <f>IF(B34*B60&lt;=62.61,B34*B60,62.61)</f>
        <v>31.56</v>
      </c>
      <c r="D60" s="63">
        <v>0.015</v>
      </c>
      <c r="E60" s="62"/>
      <c r="F60" s="62">
        <f>IF(B34*D60&lt;=62.61,B34*D60,62.61)</f>
        <v>31.56</v>
      </c>
      <c r="J60" s="49"/>
    </row>
    <row r="61" spans="1:10" s="53" customFormat="1" ht="15.75" hidden="1">
      <c r="A61" s="62" t="s">
        <v>41</v>
      </c>
      <c r="B61" s="63">
        <v>0.013</v>
      </c>
      <c r="C61" s="62">
        <f>IF(B34*B61&lt;=60,B34*B61,60)</f>
        <v>27.352</v>
      </c>
      <c r="D61" s="63">
        <v>0.013</v>
      </c>
      <c r="E61" s="62"/>
      <c r="F61" s="62">
        <f>IF(B34*D61&lt;=60,B34*D61,60)</f>
        <v>27.352</v>
      </c>
      <c r="J61" s="49"/>
    </row>
    <row r="62" spans="1:10" s="53" customFormat="1" ht="15.75" hidden="1">
      <c r="A62" s="62" t="s">
        <v>42</v>
      </c>
      <c r="B62" s="63">
        <v>0.0135</v>
      </c>
      <c r="C62" s="62">
        <f>IF(B34*B62&lt;=65,B34*B62,65)</f>
        <v>28.404</v>
      </c>
      <c r="D62" s="63">
        <v>0.0135</v>
      </c>
      <c r="E62" s="62"/>
      <c r="F62" s="62">
        <f>IF(B34*D62&lt;=65,B34*D62,65)</f>
        <v>28.404</v>
      </c>
      <c r="J62" s="49"/>
    </row>
    <row r="63" spans="1:10" s="53" customFormat="1" ht="15.75" hidden="1">
      <c r="A63" s="62" t="s">
        <v>44</v>
      </c>
      <c r="B63" s="63">
        <v>0.0135</v>
      </c>
      <c r="C63" s="62">
        <f>IF(B34*B63&lt;=65,B34*B63,65)</f>
        <v>28.404</v>
      </c>
      <c r="D63" s="63">
        <v>0.0135</v>
      </c>
      <c r="E63" s="62"/>
      <c r="F63" s="62">
        <f>IF(B34*D63&lt;=65,B34*D63,65)</f>
        <v>28.404</v>
      </c>
      <c r="J63" s="49"/>
    </row>
    <row r="64" spans="1:10" s="53" customFormat="1" ht="15.75" hidden="1">
      <c r="A64" s="62" t="s">
        <v>45</v>
      </c>
      <c r="B64" s="63">
        <v>1.015</v>
      </c>
      <c r="C64" s="62">
        <f>IF(D2&gt;24,B64*C2,IF(D2&lt;24,25.86,""))</f>
        <v>26.694499999999998</v>
      </c>
      <c r="D64" s="63">
        <v>1.015</v>
      </c>
      <c r="E64" s="62"/>
      <c r="F64" s="62">
        <f>IF(D2&gt;24,0.8907*B64*C2,IF(D2&lt;24,23.03,""))</f>
        <v>23.776791149999998</v>
      </c>
      <c r="J64" s="49"/>
    </row>
    <row r="65" spans="1:10" s="53" customFormat="1" ht="15.75" hidden="1">
      <c r="A65" s="62" t="s">
        <v>52</v>
      </c>
      <c r="B65" s="63">
        <v>0.013</v>
      </c>
      <c r="C65" s="62">
        <f>B34*B65</f>
        <v>27.352</v>
      </c>
      <c r="D65" s="63">
        <v>0.013</v>
      </c>
      <c r="E65" s="62"/>
      <c r="F65" s="62">
        <f>B34*D65</f>
        <v>27.352</v>
      </c>
      <c r="J65" s="49"/>
    </row>
    <row r="66" spans="1:10" s="53" customFormat="1" ht="15.75" hidden="1">
      <c r="A66" s="62" t="s">
        <v>48</v>
      </c>
      <c r="B66" s="63">
        <v>0.015</v>
      </c>
      <c r="C66" s="62">
        <f>B34*B66</f>
        <v>31.56</v>
      </c>
      <c r="D66" s="63">
        <v>0.015</v>
      </c>
      <c r="E66" s="62"/>
      <c r="F66" s="62">
        <f>B34*D66</f>
        <v>31.56</v>
      </c>
      <c r="J66" s="49"/>
    </row>
    <row r="67" spans="1:10" s="53" customFormat="1" ht="15.75" hidden="1">
      <c r="A67" s="62" t="s">
        <v>53</v>
      </c>
      <c r="B67" s="63">
        <v>0.013</v>
      </c>
      <c r="C67" s="62">
        <f>B34*B67</f>
        <v>27.352</v>
      </c>
      <c r="D67" s="63">
        <v>0.013</v>
      </c>
      <c r="E67" s="62"/>
      <c r="F67" s="62">
        <f>B34*D67</f>
        <v>27.352</v>
      </c>
      <c r="J67" s="49"/>
    </row>
    <row r="68" spans="1:10" s="53" customFormat="1" ht="15.75" hidden="1">
      <c r="A68" s="62" t="s">
        <v>43</v>
      </c>
      <c r="B68" s="63">
        <v>0.012</v>
      </c>
      <c r="C68" s="62">
        <f>B34*B68</f>
        <v>25.248</v>
      </c>
      <c r="D68" s="63">
        <v>0.0108</v>
      </c>
      <c r="E68" s="62"/>
      <c r="F68" s="62">
        <f>B34*D68</f>
        <v>22.723200000000002</v>
      </c>
      <c r="J68" s="49"/>
    </row>
    <row r="69" spans="1:10" s="53" customFormat="1" ht="15.75" hidden="1">
      <c r="A69" s="62"/>
      <c r="B69" s="63"/>
      <c r="C69" s="62"/>
      <c r="D69" s="63"/>
      <c r="E69" s="62"/>
      <c r="F69" s="62"/>
      <c r="J69" s="49"/>
    </row>
    <row r="70" spans="1:10" s="53" customFormat="1" ht="15.75" hidden="1">
      <c r="A70" s="62"/>
      <c r="B70" s="63"/>
      <c r="C70" s="62"/>
      <c r="D70" s="63"/>
      <c r="E70" s="62"/>
      <c r="F70" s="62"/>
      <c r="J70" s="49"/>
    </row>
    <row r="71" spans="1:10" s="53" customFormat="1" ht="15.75" hidden="1">
      <c r="A71" s="64" t="s">
        <v>104</v>
      </c>
      <c r="B71" s="49">
        <f>C64</f>
        <v>26.694499999999998</v>
      </c>
      <c r="C71" s="52"/>
      <c r="D71" s="49"/>
      <c r="G71" s="89"/>
      <c r="J71" s="49"/>
    </row>
    <row r="72" spans="1:10" s="53" customFormat="1" ht="15.75" hidden="1">
      <c r="A72" s="64" t="s">
        <v>105</v>
      </c>
      <c r="B72" s="49">
        <f>F64</f>
        <v>23.776791149999998</v>
      </c>
      <c r="C72" s="52"/>
      <c r="D72" s="49"/>
      <c r="F72" s="88" t="s">
        <v>147</v>
      </c>
      <c r="G72" s="89"/>
      <c r="J72" s="49"/>
    </row>
    <row r="73" spans="1:10" s="53" customFormat="1" ht="15.75" hidden="1">
      <c r="A73" s="64" t="s">
        <v>95</v>
      </c>
      <c r="B73" s="49">
        <f>F59</f>
        <v>9.994</v>
      </c>
      <c r="C73" s="52"/>
      <c r="F73" s="88" t="s">
        <v>19</v>
      </c>
      <c r="G73" s="89"/>
      <c r="J73" s="49"/>
    </row>
    <row r="74" spans="1:10" s="53" customFormat="1" ht="15.75" hidden="1">
      <c r="A74" s="64" t="s">
        <v>94</v>
      </c>
      <c r="B74" s="49">
        <f>C59</f>
        <v>30.2976</v>
      </c>
      <c r="C74" s="52"/>
      <c r="D74" s="49"/>
      <c r="F74" s="88" t="s">
        <v>18</v>
      </c>
      <c r="G74" s="89"/>
      <c r="J74" s="49"/>
    </row>
    <row r="75" spans="1:10" s="53" customFormat="1" ht="15.75" hidden="1">
      <c r="A75" s="64" t="s">
        <v>97</v>
      </c>
      <c r="B75" s="49">
        <f>F60</f>
        <v>31.56</v>
      </c>
      <c r="C75" s="52"/>
      <c r="D75" s="49"/>
      <c r="F75" s="88" t="s">
        <v>17</v>
      </c>
      <c r="G75" s="89"/>
      <c r="J75" s="49"/>
    </row>
    <row r="76" spans="1:10" s="53" customFormat="1" ht="15.75" hidden="1">
      <c r="A76" s="64" t="s">
        <v>96</v>
      </c>
      <c r="B76" s="49">
        <f>C60</f>
        <v>31.56</v>
      </c>
      <c r="C76" s="52"/>
      <c r="D76" s="49"/>
      <c r="F76" s="88" t="s">
        <v>15</v>
      </c>
      <c r="G76" s="89"/>
      <c r="J76" s="49"/>
    </row>
    <row r="77" spans="1:10" s="53" customFormat="1" ht="15.75" hidden="1">
      <c r="A77" s="64" t="s">
        <v>99</v>
      </c>
      <c r="B77" s="49">
        <f>F61</f>
        <v>27.352</v>
      </c>
      <c r="C77" s="52"/>
      <c r="D77" s="49"/>
      <c r="F77" s="88" t="s">
        <v>13</v>
      </c>
      <c r="G77" s="89"/>
      <c r="J77" s="49"/>
    </row>
    <row r="78" spans="1:10" s="53" customFormat="1" ht="15.75" hidden="1">
      <c r="A78" s="64" t="s">
        <v>98</v>
      </c>
      <c r="B78" s="49">
        <f>C61</f>
        <v>27.352</v>
      </c>
      <c r="C78" s="52"/>
      <c r="D78" s="49"/>
      <c r="F78" s="88" t="s">
        <v>11</v>
      </c>
      <c r="G78" s="89"/>
      <c r="J78" s="49"/>
    </row>
    <row r="79" spans="1:10" s="53" customFormat="1" ht="15.75" hidden="1">
      <c r="A79" s="64" t="s">
        <v>101</v>
      </c>
      <c r="B79" s="49">
        <f>F62</f>
        <v>28.404</v>
      </c>
      <c r="C79" s="52"/>
      <c r="D79" s="49"/>
      <c r="F79" s="88" t="s">
        <v>10</v>
      </c>
      <c r="G79" s="89"/>
      <c r="J79" s="49"/>
    </row>
    <row r="80" spans="1:10" s="53" customFormat="1" ht="15.75" hidden="1">
      <c r="A80" s="64" t="s">
        <v>100</v>
      </c>
      <c r="B80" s="49">
        <f>C62</f>
        <v>28.404</v>
      </c>
      <c r="C80" s="52"/>
      <c r="D80" s="49"/>
      <c r="F80" s="88" t="s">
        <v>9</v>
      </c>
      <c r="G80" s="89"/>
      <c r="J80" s="49"/>
    </row>
    <row r="81" spans="1:10" s="53" customFormat="1" ht="15.75" hidden="1">
      <c r="A81" s="64" t="s">
        <v>113</v>
      </c>
      <c r="B81" s="49">
        <f>F68</f>
        <v>22.723200000000002</v>
      </c>
      <c r="C81" s="52"/>
      <c r="D81" s="49"/>
      <c r="F81" s="88" t="s">
        <v>7</v>
      </c>
      <c r="J81" s="49"/>
    </row>
    <row r="82" spans="1:10" s="53" customFormat="1" ht="15.75" hidden="1">
      <c r="A82" s="64" t="s">
        <v>112</v>
      </c>
      <c r="B82" s="49">
        <f>C68</f>
        <v>25.248</v>
      </c>
      <c r="C82" s="52"/>
      <c r="D82" s="49"/>
      <c r="J82" s="49"/>
    </row>
    <row r="83" spans="1:10" s="53" customFormat="1" ht="15.75" hidden="1">
      <c r="A83" s="64" t="s">
        <v>103</v>
      </c>
      <c r="B83" s="49">
        <f>F63</f>
        <v>28.404</v>
      </c>
      <c r="C83" s="52"/>
      <c r="D83" s="49"/>
      <c r="J83" s="49"/>
    </row>
    <row r="84" spans="1:10" s="53" customFormat="1" ht="15.75" hidden="1">
      <c r="A84" s="64" t="s">
        <v>102</v>
      </c>
      <c r="B84" s="49">
        <f>C63</f>
        <v>28.404</v>
      </c>
      <c r="C84" s="52"/>
      <c r="D84" s="49"/>
      <c r="J84" s="49"/>
    </row>
    <row r="85" spans="1:10" s="53" customFormat="1" ht="15.75" hidden="1">
      <c r="A85" s="64" t="s">
        <v>146</v>
      </c>
      <c r="B85" s="49">
        <f>F69</f>
        <v>0</v>
      </c>
      <c r="C85" s="52"/>
      <c r="D85" s="49">
        <f>VLOOKUP(Union_Title,A71:B91,2)</f>
        <v>0</v>
      </c>
      <c r="F85" s="49"/>
      <c r="J85" s="49"/>
    </row>
    <row r="86" spans="1:10" s="53" customFormat="1" ht="15.75" hidden="1">
      <c r="A86" s="64" t="s">
        <v>107</v>
      </c>
      <c r="B86" s="49">
        <f>F65</f>
        <v>27.352</v>
      </c>
      <c r="C86" s="52"/>
      <c r="D86" s="49"/>
      <c r="J86" s="49"/>
    </row>
    <row r="87" spans="1:10" s="53" customFormat="1" ht="15.75" hidden="1">
      <c r="A87" s="64" t="s">
        <v>106</v>
      </c>
      <c r="B87" s="49">
        <f>C65</f>
        <v>27.352</v>
      </c>
      <c r="C87" s="52"/>
      <c r="D87" s="49"/>
      <c r="J87" s="49"/>
    </row>
    <row r="88" spans="1:10" s="53" customFormat="1" ht="15.75" hidden="1">
      <c r="A88" s="64" t="s">
        <v>109</v>
      </c>
      <c r="B88" s="49">
        <f>F66</f>
        <v>31.56</v>
      </c>
      <c r="C88" s="52"/>
      <c r="D88" s="49"/>
      <c r="J88" s="49"/>
    </row>
    <row r="89" spans="1:10" s="53" customFormat="1" ht="15.75" hidden="1">
      <c r="A89" s="64" t="s">
        <v>108</v>
      </c>
      <c r="B89" s="49">
        <f>C66</f>
        <v>31.56</v>
      </c>
      <c r="C89" s="52"/>
      <c r="D89" s="49"/>
      <c r="J89" s="49"/>
    </row>
    <row r="90" spans="1:10" s="53" customFormat="1" ht="15.75" hidden="1">
      <c r="A90" s="64" t="s">
        <v>111</v>
      </c>
      <c r="B90" s="49">
        <f>F67</f>
        <v>27.352</v>
      </c>
      <c r="C90" s="52"/>
      <c r="D90" s="49"/>
      <c r="J90" s="49"/>
    </row>
    <row r="91" spans="1:10" s="53" customFormat="1" ht="15.75" hidden="1">
      <c r="A91" s="64" t="s">
        <v>110</v>
      </c>
      <c r="B91" s="49">
        <f>C67</f>
        <v>27.352</v>
      </c>
      <c r="C91" s="52"/>
      <c r="D91" s="49"/>
      <c r="J91" s="49"/>
    </row>
    <row r="92" spans="3:10" s="53" customFormat="1" ht="15" hidden="1">
      <c r="C92" s="52"/>
      <c r="J92" s="49"/>
    </row>
    <row r="93" spans="3:10" s="53" customFormat="1" ht="15" hidden="1">
      <c r="C93" s="52"/>
      <c r="J93" s="49"/>
    </row>
    <row r="94" spans="3:10" s="53" customFormat="1" ht="15" hidden="1">
      <c r="C94" s="52"/>
      <c r="J94" s="49"/>
    </row>
    <row r="95" spans="3:10" s="53" customFormat="1" ht="15" hidden="1">
      <c r="C95" s="52"/>
      <c r="J95" s="49"/>
    </row>
    <row r="96" spans="3:10" s="53" customFormat="1" ht="15" hidden="1">
      <c r="C96" s="52"/>
      <c r="J96" s="49"/>
    </row>
    <row r="97" spans="1:10" s="53" customFormat="1" ht="15" hidden="1">
      <c r="A97" s="53" t="s">
        <v>149</v>
      </c>
      <c r="B97" s="84" t="s">
        <v>150</v>
      </c>
      <c r="C97" s="52"/>
      <c r="J97" s="49"/>
    </row>
    <row r="98" spans="1:10" s="53" customFormat="1" ht="15" hidden="1">
      <c r="A98" s="53" t="s">
        <v>128</v>
      </c>
      <c r="B98" s="84" t="s">
        <v>119</v>
      </c>
      <c r="C98" s="52"/>
      <c r="J98" s="49"/>
    </row>
    <row r="99" spans="1:10" s="53" customFormat="1" ht="15" hidden="1">
      <c r="A99" s="53" t="s">
        <v>150</v>
      </c>
      <c r="B99" s="84" t="s">
        <v>66</v>
      </c>
      <c r="C99" s="52"/>
      <c r="J99" s="49"/>
    </row>
    <row r="100" spans="2:16" s="53" customFormat="1" ht="15" hidden="1">
      <c r="B100" s="84"/>
      <c r="C100" s="52"/>
      <c r="H100" s="65"/>
      <c r="I100" s="65"/>
      <c r="J100" s="66"/>
      <c r="K100" s="65"/>
      <c r="L100" s="65"/>
      <c r="M100" s="65"/>
      <c r="N100" s="65"/>
      <c r="O100" s="65"/>
      <c r="P100" s="65"/>
    </row>
    <row r="101" spans="1:16" s="53" customFormat="1" ht="15" hidden="1">
      <c r="A101" s="53" t="s">
        <v>151</v>
      </c>
      <c r="B101" s="84" t="s">
        <v>150</v>
      </c>
      <c r="C101" s="52"/>
      <c r="F101" s="65"/>
      <c r="G101" s="65"/>
      <c r="H101" s="65"/>
      <c r="I101" s="66"/>
      <c r="J101" s="66"/>
      <c r="K101" s="66"/>
      <c r="L101" s="66"/>
      <c r="M101" s="66"/>
      <c r="N101" s="66"/>
      <c r="O101" s="66"/>
      <c r="P101" s="66"/>
    </row>
    <row r="102" spans="1:16" s="53" customFormat="1" ht="15" hidden="1">
      <c r="A102" s="53" t="s">
        <v>128</v>
      </c>
      <c r="B102" s="84" t="s">
        <v>119</v>
      </c>
      <c r="C102" s="52"/>
      <c r="F102" s="65" t="s">
        <v>121</v>
      </c>
      <c r="G102" s="65" t="s">
        <v>119</v>
      </c>
      <c r="H102" s="65"/>
      <c r="I102" s="66">
        <v>0</v>
      </c>
      <c r="J102" s="66">
        <v>87</v>
      </c>
      <c r="K102" s="66">
        <v>0</v>
      </c>
      <c r="L102" s="66">
        <v>0</v>
      </c>
      <c r="M102" s="66">
        <v>0</v>
      </c>
      <c r="N102" s="66">
        <v>0</v>
      </c>
      <c r="O102" s="66">
        <f>VLOOKUP(G108,M102:N109,2)</f>
        <v>0.25</v>
      </c>
      <c r="P102" s="66">
        <f>IF(O102=0,0,IF(O102=0.1,8.7,IF(O102=0.15,30.85,IF(O102=0.25,184.35,IF(O102=0.28,292.11,IF(O102=0.33,662.11,IF(O102=0.35,981.81,IF(O102=0.4,1720.11))))))))</f>
        <v>184.35</v>
      </c>
    </row>
    <row r="103" spans="1:16" s="53" customFormat="1" ht="15" hidden="1">
      <c r="A103" s="53" t="s">
        <v>150</v>
      </c>
      <c r="B103" s="84" t="s">
        <v>66</v>
      </c>
      <c r="C103" s="52"/>
      <c r="F103" s="65"/>
      <c r="G103" s="65"/>
      <c r="H103" s="65"/>
      <c r="I103" s="66">
        <v>87</v>
      </c>
      <c r="J103" s="66">
        <v>443</v>
      </c>
      <c r="K103" s="66">
        <v>8.7</v>
      </c>
      <c r="L103" s="66">
        <v>0.1</v>
      </c>
      <c r="M103" s="66">
        <v>87</v>
      </c>
      <c r="N103" s="66">
        <v>0.1</v>
      </c>
      <c r="O103" s="66"/>
      <c r="P103" s="66"/>
    </row>
    <row r="104" spans="1:16" s="53" customFormat="1" ht="15" hidden="1">
      <c r="A104" s="53" t="s">
        <v>152</v>
      </c>
      <c r="B104" s="84" t="s">
        <v>133</v>
      </c>
      <c r="C104" s="52"/>
      <c r="F104" s="65" t="s">
        <v>0</v>
      </c>
      <c r="G104" s="66">
        <f>IF(B5=998,0,IF(B5&lt;&gt;998,J3))</f>
        <v>1801.44</v>
      </c>
      <c r="H104" s="65"/>
      <c r="I104" s="66">
        <v>443</v>
      </c>
      <c r="J104" s="66">
        <v>1535</v>
      </c>
      <c r="K104" s="66">
        <v>30.85</v>
      </c>
      <c r="L104" s="66">
        <v>0.15</v>
      </c>
      <c r="M104" s="66">
        <v>443</v>
      </c>
      <c r="N104" s="66">
        <v>0.15</v>
      </c>
      <c r="O104" s="66"/>
      <c r="P104" s="66"/>
    </row>
    <row r="105" spans="2:16" s="53" customFormat="1" ht="15" hidden="1">
      <c r="B105" s="84"/>
      <c r="C105" s="52"/>
      <c r="F105" s="65" t="s">
        <v>122</v>
      </c>
      <c r="G105" s="67">
        <f>IF(B5&lt;997,B5,IF(B5=998,0))</f>
        <v>0</v>
      </c>
      <c r="H105" s="65"/>
      <c r="I105" s="66">
        <v>1535</v>
      </c>
      <c r="J105" s="66">
        <v>3592</v>
      </c>
      <c r="K105" s="66">
        <v>184.35</v>
      </c>
      <c r="L105" s="66">
        <v>0.25</v>
      </c>
      <c r="M105" s="66">
        <v>1535</v>
      </c>
      <c r="N105" s="66">
        <v>0.25</v>
      </c>
      <c r="O105" s="66"/>
      <c r="P105" s="66"/>
    </row>
    <row r="106" spans="1:16" s="53" customFormat="1" ht="15" hidden="1">
      <c r="A106" s="49"/>
      <c r="B106" s="84"/>
      <c r="F106" s="65" t="s">
        <v>175</v>
      </c>
      <c r="G106" s="65">
        <v>155.8</v>
      </c>
      <c r="H106" s="65"/>
      <c r="I106" s="66">
        <v>3592</v>
      </c>
      <c r="J106" s="66">
        <v>7400</v>
      </c>
      <c r="K106" s="66">
        <v>292.11</v>
      </c>
      <c r="L106" s="66">
        <v>0.28</v>
      </c>
      <c r="M106" s="66">
        <v>3592</v>
      </c>
      <c r="N106" s="66">
        <v>0.28</v>
      </c>
      <c r="O106" s="66"/>
      <c r="P106" s="66"/>
    </row>
    <row r="107" spans="1:16" s="53" customFormat="1" ht="15" hidden="1">
      <c r="A107" s="49" t="s">
        <v>155</v>
      </c>
      <c r="B107" s="84"/>
      <c r="F107" s="68" t="s">
        <v>174</v>
      </c>
      <c r="G107" s="69">
        <f>G105*G106</f>
        <v>0</v>
      </c>
      <c r="H107" s="65"/>
      <c r="I107" s="66">
        <v>7400</v>
      </c>
      <c r="J107" s="66">
        <v>15985</v>
      </c>
      <c r="K107" s="66">
        <v>662.11</v>
      </c>
      <c r="L107" s="66">
        <v>0.33</v>
      </c>
      <c r="M107" s="66">
        <v>7400</v>
      </c>
      <c r="N107" s="66">
        <v>0.33</v>
      </c>
      <c r="O107" s="66"/>
      <c r="P107" s="66"/>
    </row>
    <row r="108" spans="1:16" s="53" customFormat="1" ht="15" hidden="1">
      <c r="A108" s="49" t="s">
        <v>4</v>
      </c>
      <c r="B108" s="85" t="s">
        <v>156</v>
      </c>
      <c r="F108" s="70" t="s">
        <v>176</v>
      </c>
      <c r="G108" s="66">
        <f>IF(G107&gt;G104,0,IF(G107&lt;G104,G104-G107))</f>
        <v>1801.44</v>
      </c>
      <c r="H108" s="65"/>
      <c r="I108" s="66">
        <v>15985</v>
      </c>
      <c r="J108" s="66">
        <v>16050</v>
      </c>
      <c r="K108" s="66">
        <v>981.81</v>
      </c>
      <c r="L108" s="66">
        <v>0.35</v>
      </c>
      <c r="M108" s="66">
        <v>15985</v>
      </c>
      <c r="N108" s="66">
        <v>0.35</v>
      </c>
      <c r="O108" s="66"/>
      <c r="P108" s="66"/>
    </row>
    <row r="109" spans="1:16" s="53" customFormat="1" ht="15" hidden="1">
      <c r="A109" s="49" t="s">
        <v>6</v>
      </c>
      <c r="B109" s="85" t="s">
        <v>156</v>
      </c>
      <c r="F109" s="70"/>
      <c r="G109" s="65"/>
      <c r="H109" s="65"/>
      <c r="I109" s="66">
        <v>16050</v>
      </c>
      <c r="J109" s="66" t="s">
        <v>120</v>
      </c>
      <c r="K109" s="66">
        <v>1720.11</v>
      </c>
      <c r="L109" s="66">
        <v>0.396</v>
      </c>
      <c r="M109" s="66">
        <v>16050</v>
      </c>
      <c r="N109" s="66">
        <v>0.396</v>
      </c>
      <c r="O109" s="66"/>
      <c r="P109" s="66"/>
    </row>
    <row r="110" spans="1:16" s="53" customFormat="1" ht="15" hidden="1">
      <c r="A110" s="49" t="s">
        <v>146</v>
      </c>
      <c r="B110" s="85" t="s">
        <v>156</v>
      </c>
      <c r="F110" s="65"/>
      <c r="G110" s="66">
        <f>VLOOKUP(O102,L102:M109,2)</f>
        <v>1535</v>
      </c>
      <c r="H110" s="65"/>
      <c r="I110" s="66"/>
      <c r="J110" s="66"/>
      <c r="K110" s="66"/>
      <c r="L110" s="66"/>
      <c r="M110" s="66"/>
      <c r="N110" s="66"/>
      <c r="O110" s="66"/>
      <c r="P110" s="66"/>
    </row>
    <row r="111" spans="1:16" s="53" customFormat="1" ht="15" hidden="1">
      <c r="A111" s="49"/>
      <c r="B111" s="84"/>
      <c r="F111" s="65"/>
      <c r="G111" s="65"/>
      <c r="H111" s="65"/>
      <c r="I111" s="66"/>
      <c r="J111" s="66"/>
      <c r="K111" s="66"/>
      <c r="L111" s="66"/>
      <c r="M111" s="66"/>
      <c r="N111" s="66"/>
      <c r="O111" s="66"/>
      <c r="P111" s="66"/>
    </row>
    <row r="112" spans="1:16" s="53" customFormat="1" ht="15" hidden="1">
      <c r="A112" s="49"/>
      <c r="F112" s="65"/>
      <c r="G112" s="65"/>
      <c r="H112" s="66"/>
      <c r="I112" s="66">
        <v>0</v>
      </c>
      <c r="J112" s="66">
        <v>329</v>
      </c>
      <c r="K112" s="66">
        <v>0</v>
      </c>
      <c r="L112" s="66">
        <v>0</v>
      </c>
      <c r="M112" s="66">
        <v>0</v>
      </c>
      <c r="N112" s="66">
        <v>0</v>
      </c>
      <c r="O112" s="66">
        <f>VLOOKUP(G108,M112:N119,2)</f>
        <v>0.15</v>
      </c>
      <c r="P112" s="66">
        <f>IF(O112=0,0,IF(O112=0.1,32.9,IF(O112=0.15,85,IF(O112=0.25,407.5,IF(O112=0.28,592.63,IF(O112=0.33,1054.18,IF(O112=0.35,1378.72,IF(O112=0.4,2219.97))))))))</f>
        <v>85</v>
      </c>
    </row>
    <row r="113" spans="1:16" s="53" customFormat="1" ht="15" hidden="1">
      <c r="A113" s="49"/>
      <c r="B113" s="49"/>
      <c r="C113" s="49"/>
      <c r="D113" s="49"/>
      <c r="F113" s="66" t="s">
        <v>125</v>
      </c>
      <c r="G113" s="66" t="s">
        <v>66</v>
      </c>
      <c r="H113" s="66"/>
      <c r="I113" s="66">
        <v>329</v>
      </c>
      <c r="J113" s="66">
        <v>1042</v>
      </c>
      <c r="K113" s="66">
        <v>32.9</v>
      </c>
      <c r="L113" s="66">
        <v>0.1</v>
      </c>
      <c r="M113" s="66">
        <v>329</v>
      </c>
      <c r="N113" s="66">
        <v>0.1</v>
      </c>
      <c r="O113" s="66"/>
      <c r="P113" s="66"/>
    </row>
    <row r="114" spans="1:16" s="53" customFormat="1" ht="15" hidden="1">
      <c r="A114" s="49"/>
      <c r="B114" s="49"/>
      <c r="C114" s="49"/>
      <c r="D114" s="49"/>
      <c r="F114" s="66"/>
      <c r="G114" s="71"/>
      <c r="H114" s="65"/>
      <c r="I114" s="66">
        <v>1042</v>
      </c>
      <c r="J114" s="66">
        <v>3225</v>
      </c>
      <c r="K114" s="66">
        <v>85</v>
      </c>
      <c r="L114" s="66">
        <v>0.15</v>
      </c>
      <c r="M114" s="66">
        <v>1042</v>
      </c>
      <c r="N114" s="66">
        <v>0.15</v>
      </c>
      <c r="O114" s="66"/>
      <c r="P114" s="66"/>
    </row>
    <row r="115" spans="1:16" s="53" customFormat="1" ht="15" hidden="1">
      <c r="A115" s="45" t="s">
        <v>16</v>
      </c>
      <c r="B115" s="89">
        <v>116.86</v>
      </c>
      <c r="C115" s="49"/>
      <c r="D115" s="49"/>
      <c r="F115" s="70"/>
      <c r="G115" s="72"/>
      <c r="H115" s="65"/>
      <c r="I115" s="66">
        <v>3225</v>
      </c>
      <c r="J115" s="66">
        <v>6171</v>
      </c>
      <c r="K115" s="66">
        <v>407.5</v>
      </c>
      <c r="L115" s="66">
        <v>0.25</v>
      </c>
      <c r="M115" s="66">
        <v>3225</v>
      </c>
      <c r="N115" s="66">
        <v>0.25</v>
      </c>
      <c r="O115" s="66"/>
      <c r="P115" s="66"/>
    </row>
    <row r="116" spans="1:16" s="53" customFormat="1" ht="15" hidden="1">
      <c r="A116" s="45" t="s">
        <v>14</v>
      </c>
      <c r="B116" s="89"/>
      <c r="C116" s="49"/>
      <c r="D116" s="49"/>
      <c r="F116" s="70"/>
      <c r="G116" s="70"/>
      <c r="H116" s="65"/>
      <c r="I116" s="66">
        <v>6171</v>
      </c>
      <c r="J116" s="66">
        <v>9231</v>
      </c>
      <c r="K116" s="66">
        <v>592.63</v>
      </c>
      <c r="L116" s="66">
        <v>0.28</v>
      </c>
      <c r="M116" s="66">
        <v>6171</v>
      </c>
      <c r="N116" s="66">
        <v>0.28</v>
      </c>
      <c r="O116" s="66"/>
      <c r="P116" s="66"/>
    </row>
    <row r="117" spans="1:16" s="53" customFormat="1" ht="15" hidden="1">
      <c r="A117" s="45" t="s">
        <v>12</v>
      </c>
      <c r="B117" s="89"/>
      <c r="C117" s="49"/>
      <c r="D117" s="49"/>
      <c r="F117" s="70"/>
      <c r="G117" s="71">
        <f>VLOOKUP(O112,L112:M119,2)</f>
        <v>1042</v>
      </c>
      <c r="H117" s="65"/>
      <c r="I117" s="66">
        <v>9231</v>
      </c>
      <c r="J117" s="66">
        <v>16227</v>
      </c>
      <c r="K117" s="66">
        <v>1054.18</v>
      </c>
      <c r="L117" s="66">
        <v>0.33</v>
      </c>
      <c r="M117" s="66">
        <v>9231</v>
      </c>
      <c r="N117" s="66">
        <v>0.33</v>
      </c>
      <c r="O117" s="66"/>
      <c r="P117" s="66"/>
    </row>
    <row r="118" spans="1:16" s="53" customFormat="1" ht="15" hidden="1">
      <c r="A118" s="45" t="s">
        <v>33</v>
      </c>
      <c r="B118" s="89"/>
      <c r="C118" s="49"/>
      <c r="D118" s="49"/>
      <c r="F118" s="70"/>
      <c r="G118" s="71"/>
      <c r="H118" s="65"/>
      <c r="I118" s="66">
        <v>16227</v>
      </c>
      <c r="J118" s="66">
        <v>18288</v>
      </c>
      <c r="K118" s="66">
        <v>1378.72</v>
      </c>
      <c r="L118" s="66">
        <v>0.35</v>
      </c>
      <c r="M118" s="66">
        <v>16227</v>
      </c>
      <c r="N118" s="66">
        <v>0.35</v>
      </c>
      <c r="O118" s="66"/>
      <c r="P118" s="66"/>
    </row>
    <row r="119" spans="1:16" s="53" customFormat="1" ht="15" hidden="1">
      <c r="A119" s="45" t="s">
        <v>34</v>
      </c>
      <c r="B119" s="89">
        <v>189.62</v>
      </c>
      <c r="C119" s="49"/>
      <c r="D119" s="49"/>
      <c r="F119" s="70"/>
      <c r="G119" s="70"/>
      <c r="H119" s="65"/>
      <c r="I119" s="66">
        <v>18288</v>
      </c>
      <c r="J119" s="66" t="s">
        <v>120</v>
      </c>
      <c r="K119" s="66">
        <v>2219.97</v>
      </c>
      <c r="L119" s="66">
        <v>0.396</v>
      </c>
      <c r="M119" s="66">
        <v>18288</v>
      </c>
      <c r="N119" s="66">
        <v>0.0396</v>
      </c>
      <c r="O119" s="66"/>
      <c r="P119" s="66"/>
    </row>
    <row r="120" spans="1:16" s="53" customFormat="1" ht="15" hidden="1">
      <c r="A120" s="45" t="s">
        <v>35</v>
      </c>
      <c r="B120" s="89"/>
      <c r="C120" s="52"/>
      <c r="F120" s="70"/>
      <c r="G120" s="66">
        <f>IF(B4="S",G110,IF(B4="M",G117))</f>
        <v>1042</v>
      </c>
      <c r="H120" s="66"/>
      <c r="I120" s="65"/>
      <c r="J120" s="66"/>
      <c r="K120" s="66"/>
      <c r="L120" s="66"/>
      <c r="M120" s="66"/>
      <c r="N120" s="66"/>
      <c r="O120" s="66"/>
      <c r="P120" s="66"/>
    </row>
    <row r="121" spans="1:16" s="53" customFormat="1" ht="15" hidden="1">
      <c r="A121" s="45" t="s">
        <v>36</v>
      </c>
      <c r="B121" s="89"/>
      <c r="C121" s="52"/>
      <c r="F121" s="66">
        <f>G108</f>
        <v>1801.44</v>
      </c>
      <c r="G121" s="66">
        <f>F121-G120</f>
        <v>759.44</v>
      </c>
      <c r="H121" s="66"/>
      <c r="I121" s="66"/>
      <c r="J121" s="66"/>
      <c r="K121" s="66"/>
      <c r="L121" s="66"/>
      <c r="M121" s="66"/>
      <c r="N121" s="66"/>
      <c r="O121" s="66"/>
      <c r="P121" s="66"/>
    </row>
    <row r="122" spans="1:16" s="53" customFormat="1" ht="15" hidden="1">
      <c r="A122" s="45" t="s">
        <v>8</v>
      </c>
      <c r="B122" s="89"/>
      <c r="C122" s="52"/>
      <c r="F122" s="66"/>
      <c r="G122" s="66">
        <f>IF(B4="S",O102,IF(B4="M",O112))</f>
        <v>0.15</v>
      </c>
      <c r="H122" s="66"/>
      <c r="I122" s="66"/>
      <c r="J122" s="66"/>
      <c r="K122" s="65"/>
      <c r="L122" s="65"/>
      <c r="M122" s="65"/>
      <c r="N122" s="65"/>
      <c r="O122" s="65"/>
      <c r="P122" s="65"/>
    </row>
    <row r="123" spans="1:16" s="53" customFormat="1" ht="15" hidden="1">
      <c r="A123" s="45" t="s">
        <v>5</v>
      </c>
      <c r="B123" s="89"/>
      <c r="C123" s="52"/>
      <c r="F123" s="66"/>
      <c r="G123" s="66">
        <f>F121*G122</f>
        <v>270.216</v>
      </c>
      <c r="H123" s="66"/>
      <c r="J123" s="66"/>
      <c r="K123" s="65"/>
      <c r="L123" s="65"/>
      <c r="M123" s="65"/>
      <c r="N123" s="65"/>
      <c r="O123" s="65"/>
      <c r="P123" s="65"/>
    </row>
    <row r="124" spans="1:16" s="53" customFormat="1" ht="15" hidden="1">
      <c r="A124" s="45" t="s">
        <v>148</v>
      </c>
      <c r="B124" s="89">
        <v>78</v>
      </c>
      <c r="C124" s="52"/>
      <c r="F124" s="66"/>
      <c r="G124" s="66">
        <f>IF(B4="S",P102,IF(B4="M",P112))</f>
        <v>85</v>
      </c>
      <c r="H124" s="66"/>
      <c r="I124" s="66"/>
      <c r="J124" s="66"/>
      <c r="K124" s="65"/>
      <c r="L124" s="65"/>
      <c r="M124" s="65"/>
      <c r="N124" s="65"/>
      <c r="O124" s="65"/>
      <c r="P124" s="65"/>
    </row>
    <row r="125" spans="3:16" s="53" customFormat="1" ht="15.75" hidden="1" thickBot="1">
      <c r="C125" s="52"/>
      <c r="D125" s="53">
        <f>G120*G121</f>
        <v>791336.4800000001</v>
      </c>
      <c r="F125" s="66"/>
      <c r="G125" s="73">
        <f>IF(B5=998,0,IF(B5&lt;&gt;998,G123-G124))</f>
        <v>185.216</v>
      </c>
      <c r="H125" s="65"/>
      <c r="I125" s="66"/>
      <c r="J125" s="66"/>
      <c r="K125" s="65"/>
      <c r="L125" s="65"/>
      <c r="M125" s="65"/>
      <c r="N125" s="65"/>
      <c r="O125" s="65"/>
      <c r="P125" s="65"/>
    </row>
    <row r="126" spans="3:16" s="53" customFormat="1" ht="15.75" hidden="1" thickTop="1">
      <c r="C126" s="52"/>
      <c r="F126" s="66"/>
      <c r="G126" s="74"/>
      <c r="H126" s="49"/>
      <c r="I126" s="66"/>
      <c r="J126" s="66"/>
      <c r="K126" s="65"/>
      <c r="L126" s="65"/>
      <c r="M126" s="65"/>
      <c r="N126" s="65"/>
      <c r="O126" s="65"/>
      <c r="P126" s="65"/>
    </row>
    <row r="127" spans="3:16" s="53" customFormat="1" ht="15" hidden="1">
      <c r="C127" s="52"/>
      <c r="F127" s="66"/>
      <c r="G127" s="74"/>
      <c r="H127" s="49"/>
      <c r="I127" s="66"/>
      <c r="J127" s="66"/>
      <c r="K127" s="65"/>
      <c r="L127" s="65"/>
      <c r="M127" s="65"/>
      <c r="N127" s="65"/>
      <c r="O127" s="65"/>
      <c r="P127" s="65"/>
    </row>
    <row r="128" spans="3:10" s="53" customFormat="1" ht="15" hidden="1">
      <c r="C128" s="52"/>
      <c r="F128" s="49"/>
      <c r="G128" s="75"/>
      <c r="H128" s="75"/>
      <c r="I128" s="49"/>
      <c r="J128" s="49"/>
    </row>
    <row r="129" spans="3:16" s="53" customFormat="1" ht="15" hidden="1">
      <c r="C129" s="52"/>
      <c r="F129" s="75"/>
      <c r="G129" s="75">
        <f>J2</f>
        <v>1801.44</v>
      </c>
      <c r="H129" s="76"/>
      <c r="I129" s="131" t="s">
        <v>89</v>
      </c>
      <c r="J129" s="131"/>
      <c r="K129" s="76"/>
      <c r="L129" s="76"/>
      <c r="M129" s="130" t="s">
        <v>91</v>
      </c>
      <c r="N129" s="130"/>
      <c r="O129" s="76"/>
      <c r="P129" s="76"/>
    </row>
    <row r="130" spans="3:16" s="53" customFormat="1" ht="15" hidden="1">
      <c r="C130" s="52"/>
      <c r="F130" s="76" t="s">
        <v>83</v>
      </c>
      <c r="G130" s="79">
        <f>VLOOKUP(B8,I137:J148,2)</f>
        <v>0</v>
      </c>
      <c r="H130" s="76"/>
      <c r="I130" s="76" t="s">
        <v>128</v>
      </c>
      <c r="J130" s="75">
        <v>516</v>
      </c>
      <c r="K130" s="76"/>
      <c r="L130" s="76"/>
      <c r="M130" s="77">
        <v>0</v>
      </c>
      <c r="N130" s="78">
        <v>0</v>
      </c>
      <c r="O130" s="76"/>
      <c r="P130" s="76"/>
    </row>
    <row r="131" spans="3:16" s="53" customFormat="1" ht="15" hidden="1">
      <c r="C131" s="52"/>
      <c r="F131" s="76" t="s">
        <v>134</v>
      </c>
      <c r="G131" s="75">
        <f>G129-G130</f>
        <v>1801.44</v>
      </c>
      <c r="H131" s="76"/>
      <c r="I131" s="76" t="s">
        <v>129</v>
      </c>
      <c r="J131" s="75">
        <v>516</v>
      </c>
      <c r="K131" s="76"/>
      <c r="L131" s="76"/>
      <c r="M131" s="76" t="s">
        <v>128</v>
      </c>
      <c r="N131" s="75">
        <v>156</v>
      </c>
      <c r="O131" s="76"/>
      <c r="P131" s="76"/>
    </row>
    <row r="132" spans="3:16" s="53" customFormat="1" ht="15" hidden="1">
      <c r="C132" s="52"/>
      <c r="F132" s="76" t="s">
        <v>135</v>
      </c>
      <c r="G132" s="75">
        <f>IF(B7=998,0,IF(AND(B6="M",B7&gt;=2),N133,IF(AND(B6="M",B7&lt;=1),N132,IF(B6="S",N131,IF(B6="H",N134)))))</f>
        <v>156</v>
      </c>
      <c r="H132" s="76"/>
      <c r="I132" s="76" t="s">
        <v>130</v>
      </c>
      <c r="J132" s="75">
        <v>1032</v>
      </c>
      <c r="K132" s="76"/>
      <c r="L132" s="76"/>
      <c r="M132" s="76" t="s">
        <v>129</v>
      </c>
      <c r="N132" s="75">
        <v>156</v>
      </c>
      <c r="O132" s="76"/>
      <c r="P132" s="76"/>
    </row>
    <row r="133" spans="3:16" s="53" customFormat="1" ht="15" hidden="1">
      <c r="C133" s="52"/>
      <c r="F133" s="76" t="s">
        <v>91</v>
      </c>
      <c r="G133" s="75">
        <f>IF(B7=998,0,IF(B7&lt;&gt;998,G131-G132))</f>
        <v>1645.44</v>
      </c>
      <c r="H133" s="76"/>
      <c r="I133" s="76" t="s">
        <v>131</v>
      </c>
      <c r="J133" s="75">
        <v>1032</v>
      </c>
      <c r="K133" s="76"/>
      <c r="L133" s="76"/>
      <c r="M133" s="76" t="s">
        <v>130</v>
      </c>
      <c r="N133" s="75">
        <v>311</v>
      </c>
      <c r="O133" s="76"/>
      <c r="P133" s="76"/>
    </row>
    <row r="134" spans="3:16" s="53" customFormat="1" ht="15" hidden="1">
      <c r="C134" s="52"/>
      <c r="F134" s="76" t="s">
        <v>136</v>
      </c>
      <c r="G134" s="75">
        <f>IF(B6="S",N152,IF(B6="M",N161,IF(B6="H",N170)))</f>
        <v>1432</v>
      </c>
      <c r="H134" s="76"/>
      <c r="I134" s="76"/>
      <c r="J134" s="75"/>
      <c r="K134" s="76"/>
      <c r="L134" s="76"/>
      <c r="M134" s="76" t="s">
        <v>131</v>
      </c>
      <c r="N134" s="75">
        <v>311</v>
      </c>
      <c r="O134" s="76"/>
      <c r="P134" s="76"/>
    </row>
    <row r="135" spans="3:16" s="53" customFormat="1" ht="15" hidden="1">
      <c r="C135" s="52"/>
      <c r="F135" s="76" t="s">
        <v>137</v>
      </c>
      <c r="G135" s="75">
        <f>G133-G134</f>
        <v>213.44000000000005</v>
      </c>
      <c r="H135" s="76"/>
      <c r="I135" s="76"/>
      <c r="J135" s="75"/>
      <c r="K135" s="76"/>
      <c r="L135" s="76"/>
      <c r="M135" s="76"/>
      <c r="N135" s="76"/>
      <c r="O135" s="76"/>
      <c r="P135" s="76"/>
    </row>
    <row r="136" spans="3:16" s="53" customFormat="1" ht="15" hidden="1">
      <c r="C136" s="52"/>
      <c r="F136" s="76" t="s">
        <v>138</v>
      </c>
      <c r="G136" s="80">
        <f>IF(B6="S",O152,IF(B6="M",O161,IF(B6="H",O170)))</f>
        <v>0.044</v>
      </c>
      <c r="H136" s="76"/>
      <c r="I136" s="130" t="s">
        <v>90</v>
      </c>
      <c r="J136" s="130"/>
      <c r="K136" s="76"/>
      <c r="L136" s="76"/>
      <c r="M136" s="76"/>
      <c r="N136" s="76"/>
      <c r="O136" s="76"/>
      <c r="P136" s="76"/>
    </row>
    <row r="137" spans="3:16" s="53" customFormat="1" ht="15" hidden="1">
      <c r="C137" s="52"/>
      <c r="F137" s="76" t="s">
        <v>139</v>
      </c>
      <c r="G137" s="75">
        <f>ROUND(G135*G136,2)</f>
        <v>9.39</v>
      </c>
      <c r="H137" s="76"/>
      <c r="I137" s="77">
        <v>0</v>
      </c>
      <c r="J137" s="78">
        <v>0</v>
      </c>
      <c r="K137" s="75"/>
      <c r="L137" s="75"/>
      <c r="M137" s="130" t="s">
        <v>92</v>
      </c>
      <c r="N137" s="130"/>
      <c r="O137" s="76"/>
      <c r="P137" s="76"/>
    </row>
    <row r="138" spans="3:16" s="53" customFormat="1" ht="15" hidden="1">
      <c r="C138" s="52"/>
      <c r="F138" s="76" t="s">
        <v>140</v>
      </c>
      <c r="G138" s="75">
        <f>IF(B6="S",P152,IF(B6="M",P161,IF(B6="H",P170)))</f>
        <v>24.86</v>
      </c>
      <c r="H138" s="76"/>
      <c r="I138" s="81">
        <v>1</v>
      </c>
      <c r="J138" s="75">
        <v>38</v>
      </c>
      <c r="K138" s="76"/>
      <c r="L138" s="76"/>
      <c r="M138" s="78">
        <v>0</v>
      </c>
      <c r="N138" s="78">
        <v>0</v>
      </c>
      <c r="O138" s="76"/>
      <c r="P138" s="76"/>
    </row>
    <row r="139" spans="3:16" s="53" customFormat="1" ht="15" hidden="1">
      <c r="C139" s="52"/>
      <c r="F139" s="76" t="s">
        <v>141</v>
      </c>
      <c r="G139" s="75">
        <f>G137+G138</f>
        <v>34.25</v>
      </c>
      <c r="H139" s="76"/>
      <c r="I139" s="81">
        <v>2</v>
      </c>
      <c r="J139" s="75">
        <v>77</v>
      </c>
      <c r="K139" s="76"/>
      <c r="L139" s="76"/>
      <c r="M139" s="76">
        <v>1</v>
      </c>
      <c r="N139" s="75">
        <v>4.61</v>
      </c>
      <c r="O139" s="76"/>
      <c r="P139" s="76"/>
    </row>
    <row r="140" spans="3:16" s="53" customFormat="1" ht="15" hidden="1">
      <c r="C140" s="52"/>
      <c r="F140" s="76" t="s">
        <v>142</v>
      </c>
      <c r="G140" s="75">
        <f>VLOOKUP(B7,M138:N149,2)</f>
        <v>0</v>
      </c>
      <c r="H140" s="76"/>
      <c r="I140" s="81">
        <v>3</v>
      </c>
      <c r="J140" s="75">
        <v>115</v>
      </c>
      <c r="K140" s="76"/>
      <c r="L140" s="76"/>
      <c r="M140" s="76">
        <v>2</v>
      </c>
      <c r="N140" s="75">
        <v>9.22</v>
      </c>
      <c r="O140" s="76"/>
      <c r="P140" s="76"/>
    </row>
    <row r="141" spans="3:16" s="53" customFormat="1" ht="15.75" hidden="1" thickBot="1">
      <c r="C141" s="52"/>
      <c r="F141" s="76" t="s">
        <v>122</v>
      </c>
      <c r="G141" s="83">
        <f>IF(B7=998,0,IF(B7&lt;&gt;998,G139-G140))</f>
        <v>34.25</v>
      </c>
      <c r="H141" s="76"/>
      <c r="I141" s="81">
        <v>4</v>
      </c>
      <c r="J141" s="75">
        <v>154</v>
      </c>
      <c r="K141" s="76"/>
      <c r="L141" s="76"/>
      <c r="M141" s="76">
        <v>3</v>
      </c>
      <c r="N141" s="75">
        <v>13.83</v>
      </c>
      <c r="O141" s="76"/>
      <c r="P141" s="76"/>
    </row>
    <row r="142" spans="3:16" s="53" customFormat="1" ht="16.5" hidden="1" thickBot="1" thickTop="1">
      <c r="C142" s="52"/>
      <c r="F142" s="82" t="s">
        <v>143</v>
      </c>
      <c r="G142" s="76"/>
      <c r="H142" s="76"/>
      <c r="I142" s="81">
        <v>5</v>
      </c>
      <c r="J142" s="75">
        <v>192</v>
      </c>
      <c r="K142" s="76"/>
      <c r="L142" s="76"/>
      <c r="M142" s="76">
        <v>4</v>
      </c>
      <c r="N142" s="75">
        <v>18.45</v>
      </c>
      <c r="O142" s="76"/>
      <c r="P142" s="76"/>
    </row>
    <row r="143" spans="3:16" s="53" customFormat="1" ht="15.75" hidden="1" thickTop="1">
      <c r="C143" s="52"/>
      <c r="F143" s="76"/>
      <c r="G143" s="76"/>
      <c r="H143" s="76"/>
      <c r="I143" s="81">
        <v>6</v>
      </c>
      <c r="J143" s="75">
        <v>231</v>
      </c>
      <c r="K143" s="76"/>
      <c r="L143" s="76"/>
      <c r="M143" s="76">
        <v>5</v>
      </c>
      <c r="N143" s="75">
        <v>23.06</v>
      </c>
      <c r="O143" s="76"/>
      <c r="P143" s="76"/>
    </row>
    <row r="144" spans="3:16" s="53" customFormat="1" ht="15" hidden="1">
      <c r="C144" s="52"/>
      <c r="F144" s="76"/>
      <c r="G144" s="76"/>
      <c r="H144" s="76"/>
      <c r="I144" s="81">
        <v>7</v>
      </c>
      <c r="J144" s="75">
        <v>269</v>
      </c>
      <c r="K144" s="76"/>
      <c r="L144" s="76"/>
      <c r="M144" s="76">
        <v>6</v>
      </c>
      <c r="N144" s="75">
        <v>27.67</v>
      </c>
      <c r="O144" s="76"/>
      <c r="P144" s="76"/>
    </row>
    <row r="145" spans="3:16" s="53" customFormat="1" ht="15" hidden="1">
      <c r="C145" s="52"/>
      <c r="F145" s="76"/>
      <c r="G145" s="76"/>
      <c r="H145" s="76"/>
      <c r="I145" s="81">
        <v>8</v>
      </c>
      <c r="J145" s="75">
        <v>308</v>
      </c>
      <c r="K145" s="76"/>
      <c r="L145" s="76"/>
      <c r="M145" s="76">
        <v>7</v>
      </c>
      <c r="N145" s="75">
        <v>32.28</v>
      </c>
      <c r="O145" s="76"/>
      <c r="P145" s="76"/>
    </row>
    <row r="146" spans="3:16" s="53" customFormat="1" ht="15" hidden="1">
      <c r="C146" s="52"/>
      <c r="F146" s="76"/>
      <c r="G146" s="76"/>
      <c r="H146" s="76"/>
      <c r="I146" s="81">
        <v>9</v>
      </c>
      <c r="J146" s="75">
        <v>346</v>
      </c>
      <c r="K146" s="76"/>
      <c r="L146" s="76"/>
      <c r="M146" s="76">
        <v>8</v>
      </c>
      <c r="N146" s="75">
        <v>36.89</v>
      </c>
      <c r="O146" s="76"/>
      <c r="P146" s="76"/>
    </row>
    <row r="147" spans="3:16" s="53" customFormat="1" ht="15" hidden="1">
      <c r="C147" s="52"/>
      <c r="F147" s="76"/>
      <c r="G147" s="76"/>
      <c r="H147" s="76"/>
      <c r="I147" s="81">
        <v>10</v>
      </c>
      <c r="J147" s="75">
        <v>385</v>
      </c>
      <c r="K147" s="76"/>
      <c r="L147" s="76"/>
      <c r="M147" s="76">
        <v>9</v>
      </c>
      <c r="N147" s="75">
        <v>41.5</v>
      </c>
      <c r="O147" s="76"/>
      <c r="P147" s="76"/>
    </row>
    <row r="148" spans="3:16" s="53" customFormat="1" ht="15" hidden="1">
      <c r="C148" s="52"/>
      <c r="F148" s="76"/>
      <c r="G148" s="76"/>
      <c r="H148" s="76"/>
      <c r="I148" s="81" t="s">
        <v>132</v>
      </c>
      <c r="J148" s="75"/>
      <c r="K148" s="76"/>
      <c r="L148" s="76"/>
      <c r="M148" s="76">
        <v>10</v>
      </c>
      <c r="N148" s="75">
        <v>46.12</v>
      </c>
      <c r="O148" s="76"/>
      <c r="P148" s="76"/>
    </row>
    <row r="149" spans="3:16" s="53" customFormat="1" ht="15" hidden="1">
      <c r="C149" s="52"/>
      <c r="F149" s="76"/>
      <c r="G149" s="76"/>
      <c r="H149" s="76"/>
      <c r="I149" s="76"/>
      <c r="J149" s="75"/>
      <c r="K149" s="76"/>
      <c r="L149" s="76"/>
      <c r="M149" s="76">
        <v>11</v>
      </c>
      <c r="N149" s="75"/>
      <c r="O149" s="76"/>
      <c r="P149" s="76"/>
    </row>
    <row r="150" spans="3:16" s="53" customFormat="1" ht="15" hidden="1">
      <c r="C150" s="52"/>
      <c r="F150" s="76"/>
      <c r="G150" s="76"/>
      <c r="H150" s="76" t="s">
        <v>119</v>
      </c>
      <c r="I150" s="76"/>
      <c r="J150" s="75"/>
      <c r="K150" s="76"/>
      <c r="L150" s="76"/>
      <c r="M150" s="76"/>
      <c r="N150" s="76"/>
      <c r="O150" s="76"/>
      <c r="P150" s="76"/>
    </row>
    <row r="151" spans="3:16" s="53" customFormat="1" ht="15" hidden="1">
      <c r="C151" s="52"/>
      <c r="F151" s="76"/>
      <c r="G151" s="76"/>
      <c r="H151" s="76"/>
      <c r="I151" s="130" t="s">
        <v>93</v>
      </c>
      <c r="J151" s="130"/>
      <c r="K151" s="76"/>
      <c r="L151" s="76"/>
      <c r="M151" s="76"/>
      <c r="N151" s="76"/>
      <c r="O151" s="76"/>
      <c r="P151" s="76"/>
    </row>
    <row r="152" spans="3:16" s="53" customFormat="1" ht="15" hidden="1">
      <c r="C152" s="52"/>
      <c r="F152" s="76"/>
      <c r="G152" s="76"/>
      <c r="H152" s="76"/>
      <c r="I152" s="76">
        <v>0</v>
      </c>
      <c r="J152" s="75">
        <v>302</v>
      </c>
      <c r="K152" s="75">
        <v>0</v>
      </c>
      <c r="L152" s="80">
        <v>0.011</v>
      </c>
      <c r="M152" s="76">
        <v>0</v>
      </c>
      <c r="N152" s="76" t="b">
        <f>IF(B6="S",VLOOKUP(G133,I152:J158,1))</f>
        <v>0</v>
      </c>
      <c r="O152" s="80" t="e">
        <f>VLOOKUP(N152,I152:M158,4)</f>
        <v>#N/A</v>
      </c>
      <c r="P152" s="75" t="e">
        <f>VLOOKUP(N152,I152:K158,3)</f>
        <v>#N/A</v>
      </c>
    </row>
    <row r="153" spans="3:16" s="53" customFormat="1" ht="15" hidden="1">
      <c r="C153" s="52"/>
      <c r="F153" s="76"/>
      <c r="G153" s="76"/>
      <c r="H153" s="76"/>
      <c r="I153" s="76">
        <v>302</v>
      </c>
      <c r="J153" s="75">
        <v>716</v>
      </c>
      <c r="K153" s="75">
        <v>3.32</v>
      </c>
      <c r="L153" s="80">
        <v>0.022</v>
      </c>
      <c r="M153" s="76">
        <v>302</v>
      </c>
      <c r="N153" s="76"/>
      <c r="O153" s="76"/>
      <c r="P153" s="75"/>
    </row>
    <row r="154" spans="3:16" s="53" customFormat="1" ht="15" hidden="1">
      <c r="C154" s="52"/>
      <c r="F154" s="76"/>
      <c r="G154" s="76"/>
      <c r="H154" s="76"/>
      <c r="I154" s="76">
        <v>716</v>
      </c>
      <c r="J154" s="75">
        <v>1130</v>
      </c>
      <c r="K154" s="75">
        <v>12.43</v>
      </c>
      <c r="L154" s="80">
        <v>0.044</v>
      </c>
      <c r="M154" s="76">
        <v>716</v>
      </c>
      <c r="N154" s="76"/>
      <c r="O154" s="76"/>
      <c r="P154" s="75"/>
    </row>
    <row r="155" spans="3:16" s="53" customFormat="1" ht="15" hidden="1">
      <c r="C155" s="52"/>
      <c r="F155" s="76"/>
      <c r="G155" s="76"/>
      <c r="H155" s="76"/>
      <c r="I155" s="76">
        <v>1130</v>
      </c>
      <c r="J155" s="75">
        <v>1568</v>
      </c>
      <c r="K155" s="75">
        <v>30.65</v>
      </c>
      <c r="L155" s="80">
        <v>0.066</v>
      </c>
      <c r="M155" s="76">
        <v>1130</v>
      </c>
      <c r="N155" s="76"/>
      <c r="O155" s="76"/>
      <c r="P155" s="75"/>
    </row>
    <row r="156" spans="3:16" s="53" customFormat="1" ht="15" hidden="1">
      <c r="C156" s="52"/>
      <c r="F156" s="76"/>
      <c r="G156" s="76"/>
      <c r="H156" s="76"/>
      <c r="I156" s="76">
        <v>1568</v>
      </c>
      <c r="J156" s="75">
        <v>1982</v>
      </c>
      <c r="K156" s="75">
        <v>59.56</v>
      </c>
      <c r="L156" s="80">
        <v>0.088</v>
      </c>
      <c r="M156" s="76">
        <v>1568</v>
      </c>
      <c r="N156" s="76"/>
      <c r="O156" s="76"/>
      <c r="P156" s="75"/>
    </row>
    <row r="157" spans="3:16" s="53" customFormat="1" ht="15" hidden="1">
      <c r="C157" s="52"/>
      <c r="F157" s="76"/>
      <c r="G157" s="76"/>
      <c r="H157" s="76"/>
      <c r="I157" s="76">
        <v>1982</v>
      </c>
      <c r="J157" s="75">
        <v>10124</v>
      </c>
      <c r="K157" s="75">
        <v>95.99</v>
      </c>
      <c r="L157" s="80">
        <v>0.1023</v>
      </c>
      <c r="M157" s="76">
        <v>1982</v>
      </c>
      <c r="N157" s="76"/>
      <c r="O157" s="76"/>
      <c r="P157" s="75"/>
    </row>
    <row r="158" spans="3:16" s="53" customFormat="1" ht="15" hidden="1">
      <c r="C158" s="52"/>
      <c r="F158" s="76"/>
      <c r="G158" s="76"/>
      <c r="H158" s="76"/>
      <c r="I158" s="76">
        <v>10124</v>
      </c>
      <c r="J158" s="75">
        <v>12148</v>
      </c>
      <c r="K158" s="75">
        <v>928.92</v>
      </c>
      <c r="L158" s="80">
        <v>0.1133</v>
      </c>
      <c r="M158" s="76">
        <v>10124</v>
      </c>
      <c r="N158" s="76"/>
      <c r="O158" s="76"/>
      <c r="P158" s="75"/>
    </row>
    <row r="159" spans="3:16" s="53" customFormat="1" ht="15" hidden="1">
      <c r="C159" s="52"/>
      <c r="F159" s="76"/>
      <c r="G159" s="76"/>
      <c r="H159" s="76" t="s">
        <v>66</v>
      </c>
      <c r="I159" s="76"/>
      <c r="J159" s="75"/>
      <c r="K159" s="76"/>
      <c r="L159" s="76"/>
      <c r="M159" s="76"/>
      <c r="N159" s="76"/>
      <c r="O159" s="76"/>
      <c r="P159" s="75"/>
    </row>
    <row r="160" spans="3:16" s="53" customFormat="1" ht="15" hidden="1">
      <c r="C160" s="52"/>
      <c r="F160" s="76"/>
      <c r="G160" s="76"/>
      <c r="H160" s="76"/>
      <c r="I160" s="76"/>
      <c r="J160" s="75"/>
      <c r="K160" s="75"/>
      <c r="L160" s="76"/>
      <c r="M160" s="76"/>
      <c r="N160" s="76"/>
      <c r="O160" s="76"/>
      <c r="P160" s="75"/>
    </row>
    <row r="161" spans="3:16" s="53" customFormat="1" ht="15" hidden="1">
      <c r="C161" s="52"/>
      <c r="F161" s="76"/>
      <c r="G161" s="76"/>
      <c r="H161" s="76"/>
      <c r="I161" s="76">
        <v>0</v>
      </c>
      <c r="J161" s="75">
        <v>604</v>
      </c>
      <c r="K161" s="75">
        <v>0</v>
      </c>
      <c r="L161" s="80">
        <v>0.011</v>
      </c>
      <c r="M161" s="76">
        <v>0</v>
      </c>
      <c r="N161" s="76">
        <f>IF(B6="M",VLOOKUP(G133,I161:J167,1))</f>
        <v>1432</v>
      </c>
      <c r="O161" s="80">
        <f>VLOOKUP(N161,I161:M167,4)</f>
        <v>0.044</v>
      </c>
      <c r="P161" s="75">
        <f>VLOOKUP(N161,I161:K167,3)</f>
        <v>24.86</v>
      </c>
    </row>
    <row r="162" spans="3:16" s="53" customFormat="1" ht="15" hidden="1">
      <c r="C162" s="52"/>
      <c r="F162" s="76"/>
      <c r="G162" s="76"/>
      <c r="H162" s="76"/>
      <c r="I162" s="76">
        <v>604</v>
      </c>
      <c r="J162" s="75">
        <v>1432</v>
      </c>
      <c r="K162" s="75">
        <v>6.64</v>
      </c>
      <c r="L162" s="80">
        <v>0.022</v>
      </c>
      <c r="M162" s="76">
        <v>604</v>
      </c>
      <c r="N162" s="76"/>
      <c r="O162" s="76"/>
      <c r="P162" s="75"/>
    </row>
    <row r="163" spans="3:16" s="53" customFormat="1" ht="15" hidden="1">
      <c r="C163" s="52"/>
      <c r="F163" s="76"/>
      <c r="G163" s="76"/>
      <c r="H163" s="76"/>
      <c r="I163" s="76">
        <v>1432</v>
      </c>
      <c r="J163" s="75">
        <v>2260</v>
      </c>
      <c r="K163" s="75">
        <v>24.86</v>
      </c>
      <c r="L163" s="80">
        <v>0.044</v>
      </c>
      <c r="M163" s="76">
        <v>1432</v>
      </c>
      <c r="N163" s="76"/>
      <c r="O163" s="76"/>
      <c r="P163" s="75"/>
    </row>
    <row r="164" spans="3:16" s="53" customFormat="1" ht="15" hidden="1">
      <c r="C164" s="52"/>
      <c r="F164" s="76"/>
      <c r="G164" s="76"/>
      <c r="H164" s="76"/>
      <c r="I164" s="76">
        <v>2260</v>
      </c>
      <c r="J164" s="75">
        <v>3136</v>
      </c>
      <c r="K164" s="75">
        <v>61.29</v>
      </c>
      <c r="L164" s="80">
        <v>0.066</v>
      </c>
      <c r="M164" s="76">
        <v>2260</v>
      </c>
      <c r="N164" s="76"/>
      <c r="O164" s="76"/>
      <c r="P164" s="75"/>
    </row>
    <row r="165" spans="3:16" s="53" customFormat="1" ht="15" hidden="1">
      <c r="C165" s="52"/>
      <c r="F165" s="76"/>
      <c r="G165" s="76"/>
      <c r="H165" s="76"/>
      <c r="I165" s="76">
        <v>3136</v>
      </c>
      <c r="J165" s="75">
        <v>3964</v>
      </c>
      <c r="K165" s="75">
        <v>119.11</v>
      </c>
      <c r="L165" s="80">
        <v>0.088</v>
      </c>
      <c r="M165" s="76">
        <v>3136</v>
      </c>
      <c r="N165" s="76"/>
      <c r="O165" s="76"/>
      <c r="P165" s="75"/>
    </row>
    <row r="166" spans="3:16" s="53" customFormat="1" ht="15" hidden="1">
      <c r="C166" s="52"/>
      <c r="F166" s="76"/>
      <c r="G166" s="76"/>
      <c r="H166" s="76"/>
      <c r="I166" s="76">
        <v>3964</v>
      </c>
      <c r="J166" s="75">
        <v>20248</v>
      </c>
      <c r="K166" s="75">
        <v>191.97</v>
      </c>
      <c r="L166" s="80">
        <v>0.1023</v>
      </c>
      <c r="M166" s="76">
        <v>3964</v>
      </c>
      <c r="N166" s="76"/>
      <c r="O166" s="76"/>
      <c r="P166" s="75"/>
    </row>
    <row r="167" spans="3:16" s="53" customFormat="1" ht="15" hidden="1">
      <c r="C167" s="52"/>
      <c r="F167" s="76"/>
      <c r="G167" s="76"/>
      <c r="H167" s="76"/>
      <c r="I167" s="76">
        <v>20248</v>
      </c>
      <c r="J167" s="75">
        <v>24296</v>
      </c>
      <c r="K167" s="75">
        <v>1857.82</v>
      </c>
      <c r="L167" s="80">
        <v>0.1133</v>
      </c>
      <c r="M167" s="76">
        <v>20248</v>
      </c>
      <c r="N167" s="76"/>
      <c r="O167" s="76"/>
      <c r="P167" s="75"/>
    </row>
    <row r="168" spans="3:16" s="53" customFormat="1" ht="15" hidden="1">
      <c r="C168" s="52"/>
      <c r="F168" s="76"/>
      <c r="G168" s="76"/>
      <c r="H168" s="76" t="s">
        <v>133</v>
      </c>
      <c r="I168" s="76"/>
      <c r="J168" s="75"/>
      <c r="K168" s="75"/>
      <c r="L168" s="76"/>
      <c r="M168" s="76"/>
      <c r="N168" s="76"/>
      <c r="O168" s="76"/>
      <c r="P168" s="75"/>
    </row>
    <row r="169" spans="3:16" s="53" customFormat="1" ht="15" hidden="1">
      <c r="C169" s="52"/>
      <c r="F169" s="76"/>
      <c r="G169" s="76"/>
      <c r="H169" s="76"/>
      <c r="I169" s="76"/>
      <c r="J169" s="75"/>
      <c r="K169" s="75"/>
      <c r="L169" s="76"/>
      <c r="M169" s="76"/>
      <c r="N169" s="76"/>
      <c r="O169" s="76"/>
      <c r="P169" s="75"/>
    </row>
    <row r="170" spans="3:16" s="53" customFormat="1" ht="15" hidden="1">
      <c r="C170" s="52"/>
      <c r="F170" s="76"/>
      <c r="G170" s="76"/>
      <c r="H170" s="76"/>
      <c r="I170" s="76">
        <v>0</v>
      </c>
      <c r="J170" s="75">
        <v>604</v>
      </c>
      <c r="K170" s="75">
        <v>0</v>
      </c>
      <c r="L170" s="80">
        <v>0.011</v>
      </c>
      <c r="M170" s="76">
        <v>0</v>
      </c>
      <c r="N170" s="76" t="b">
        <f>IF(B6="H",VLOOKUP(G133,I170:J176,1))</f>
        <v>0</v>
      </c>
      <c r="O170" s="80" t="e">
        <f>VLOOKUP(N170,I170:M176,4)</f>
        <v>#N/A</v>
      </c>
      <c r="P170" s="75" t="e">
        <f>VLOOKUP(N170,I170:K176,3)</f>
        <v>#N/A</v>
      </c>
    </row>
    <row r="171" spans="3:16" s="53" customFormat="1" ht="15" hidden="1">
      <c r="C171" s="52"/>
      <c r="F171" s="76"/>
      <c r="G171" s="76"/>
      <c r="H171" s="76"/>
      <c r="I171" s="76">
        <v>604</v>
      </c>
      <c r="J171" s="75">
        <v>1432</v>
      </c>
      <c r="K171" s="75">
        <v>6.64</v>
      </c>
      <c r="L171" s="80">
        <v>0.022</v>
      </c>
      <c r="M171" s="76">
        <v>604</v>
      </c>
      <c r="N171" s="76"/>
      <c r="O171" s="76"/>
      <c r="P171" s="75"/>
    </row>
    <row r="172" spans="3:16" s="53" customFormat="1" ht="15" hidden="1">
      <c r="C172" s="52"/>
      <c r="F172" s="76"/>
      <c r="G172" s="76"/>
      <c r="H172" s="76"/>
      <c r="I172" s="76">
        <v>1432</v>
      </c>
      <c r="J172" s="75">
        <v>1846</v>
      </c>
      <c r="K172" s="75">
        <v>24.86</v>
      </c>
      <c r="L172" s="80">
        <v>0.044</v>
      </c>
      <c r="M172" s="76">
        <v>1432</v>
      </c>
      <c r="N172" s="76"/>
      <c r="O172" s="76"/>
      <c r="P172" s="75"/>
    </row>
    <row r="173" spans="3:16" s="53" customFormat="1" ht="15" hidden="1">
      <c r="C173" s="52"/>
      <c r="F173" s="76"/>
      <c r="G173" s="76"/>
      <c r="H173" s="76"/>
      <c r="I173" s="76">
        <v>1846</v>
      </c>
      <c r="J173" s="75">
        <v>2284</v>
      </c>
      <c r="K173" s="75">
        <v>43.08</v>
      </c>
      <c r="L173" s="80">
        <v>0.066</v>
      </c>
      <c r="M173" s="76">
        <v>1846</v>
      </c>
      <c r="N173" s="76"/>
      <c r="O173" s="76"/>
      <c r="P173" s="75"/>
    </row>
    <row r="174" spans="3:16" s="53" customFormat="1" ht="15" hidden="1">
      <c r="C174" s="52"/>
      <c r="F174" s="76"/>
      <c r="G174" s="76"/>
      <c r="H174" s="76"/>
      <c r="I174" s="76">
        <v>2284</v>
      </c>
      <c r="J174" s="75">
        <v>2698</v>
      </c>
      <c r="K174" s="75">
        <v>71.99</v>
      </c>
      <c r="L174" s="80">
        <v>0.088</v>
      </c>
      <c r="M174" s="76">
        <v>2284</v>
      </c>
      <c r="N174" s="76"/>
      <c r="O174" s="76"/>
      <c r="P174" s="75"/>
    </row>
    <row r="175" spans="3:16" s="53" customFormat="1" ht="15" hidden="1">
      <c r="C175" s="52"/>
      <c r="F175" s="76"/>
      <c r="G175" s="76"/>
      <c r="H175" s="76"/>
      <c r="I175" s="76">
        <v>2698</v>
      </c>
      <c r="J175" s="75">
        <v>13768</v>
      </c>
      <c r="K175" s="75">
        <v>108.42</v>
      </c>
      <c r="L175" s="80">
        <v>0.1023</v>
      </c>
      <c r="M175" s="76">
        <v>2698</v>
      </c>
      <c r="N175" s="76"/>
      <c r="O175" s="76"/>
      <c r="P175" s="75"/>
    </row>
    <row r="176" spans="3:16" s="53" customFormat="1" ht="15" hidden="1">
      <c r="C176" s="52"/>
      <c r="F176" s="76"/>
      <c r="G176" s="76"/>
      <c r="H176" s="76"/>
      <c r="I176" s="76">
        <v>13768</v>
      </c>
      <c r="J176" s="75">
        <v>16522</v>
      </c>
      <c r="K176" s="75">
        <v>1240.88</v>
      </c>
      <c r="L176" s="80">
        <v>0.1133</v>
      </c>
      <c r="M176" s="76">
        <v>13768</v>
      </c>
      <c r="N176" s="76"/>
      <c r="O176" s="76"/>
      <c r="P176" s="75"/>
    </row>
    <row r="177" spans="3:16" s="53" customFormat="1" ht="15" hidden="1">
      <c r="C177" s="52"/>
      <c r="F177" s="76"/>
      <c r="I177" s="76"/>
      <c r="J177" s="75"/>
      <c r="K177" s="75"/>
      <c r="L177" s="76"/>
      <c r="M177" s="76"/>
      <c r="N177" s="76"/>
      <c r="O177" s="76"/>
      <c r="P177" s="75"/>
    </row>
    <row r="178" spans="3:10" s="53" customFormat="1" ht="15" hidden="1">
      <c r="C178" s="52"/>
      <c r="J178" s="49"/>
    </row>
    <row r="179" spans="3:10" s="53" customFormat="1" ht="15" hidden="1">
      <c r="C179" s="52"/>
      <c r="J179" s="49"/>
    </row>
    <row r="180" spans="3:10" s="53" customFormat="1" ht="15" hidden="1">
      <c r="C180" s="52"/>
      <c r="J180" s="49"/>
    </row>
    <row r="181" spans="3:10" s="53" customFormat="1" ht="15" hidden="1">
      <c r="C181" s="52"/>
      <c r="J181" s="49"/>
    </row>
    <row r="182" spans="1:11" s="137" customFormat="1" ht="15" hidden="1">
      <c r="A182" s="53"/>
      <c r="B182" s="53"/>
      <c r="C182" s="52"/>
      <c r="D182" s="53"/>
      <c r="E182" s="53"/>
      <c r="F182" s="53"/>
      <c r="G182" s="136"/>
      <c r="H182" s="132"/>
      <c r="J182" s="138"/>
      <c r="K182" s="139"/>
    </row>
    <row r="183" spans="1:11" s="137" customFormat="1" ht="15" hidden="1">
      <c r="A183" s="132" t="s">
        <v>23</v>
      </c>
      <c r="B183" s="133">
        <v>3465</v>
      </c>
      <c r="C183" s="134">
        <f>C2</f>
        <v>26.3</v>
      </c>
      <c r="D183" s="135">
        <f>B184</f>
        <v>40</v>
      </c>
      <c r="E183" s="132"/>
      <c r="F183" s="136" t="s">
        <v>31</v>
      </c>
      <c r="G183" s="135">
        <f>D85</f>
        <v>0</v>
      </c>
      <c r="H183" s="132"/>
      <c r="I183" s="132"/>
      <c r="J183" s="142"/>
      <c r="K183" s="139"/>
    </row>
    <row r="184" spans="1:11" s="137" customFormat="1" ht="15" hidden="1">
      <c r="A184" s="132" t="s">
        <v>24</v>
      </c>
      <c r="B184" s="133">
        <v>40</v>
      </c>
      <c r="C184" s="140"/>
      <c r="D184" s="141"/>
      <c r="E184" s="132"/>
      <c r="F184" s="132" t="s">
        <v>153</v>
      </c>
      <c r="G184" s="142">
        <f>Deductions_1/2</f>
        <v>0</v>
      </c>
      <c r="H184" s="132"/>
      <c r="I184" s="132" t="s">
        <v>145</v>
      </c>
      <c r="J184" s="142">
        <f>IF(B185=998,0,IF(B185&lt;&gt;998,J199-B212))</f>
        <v>841.94</v>
      </c>
      <c r="K184" s="139"/>
    </row>
    <row r="185" spans="1:12" s="137" customFormat="1" ht="15" hidden="1">
      <c r="A185" s="132" t="s">
        <v>114</v>
      </c>
      <c r="B185" s="143" t="str">
        <f>B4</f>
        <v>M</v>
      </c>
      <c r="C185" s="140"/>
      <c r="D185" s="141"/>
      <c r="E185" s="132"/>
      <c r="F185" s="132" t="s">
        <v>147</v>
      </c>
      <c r="G185" s="142">
        <f>Deductions_2/2</f>
        <v>0</v>
      </c>
      <c r="H185" s="132"/>
      <c r="I185" s="132" t="s">
        <v>144</v>
      </c>
      <c r="J185" s="142">
        <f>IF(B186=998,0,IF(B186&lt;&gt;998,J199-B212))</f>
        <v>841.94</v>
      </c>
      <c r="K185" s="139"/>
      <c r="L185" s="138"/>
    </row>
    <row r="186" spans="1:12" s="137" customFormat="1" ht="15" hidden="1">
      <c r="A186" s="132" t="s">
        <v>115</v>
      </c>
      <c r="B186" s="144">
        <f>B5</f>
        <v>0</v>
      </c>
      <c r="C186" s="145"/>
      <c r="D186" s="141"/>
      <c r="E186" s="132"/>
      <c r="F186" s="132" t="s">
        <v>19</v>
      </c>
      <c r="G186" s="142">
        <f>Deductions_3/2</f>
        <v>0</v>
      </c>
      <c r="H186" s="132"/>
      <c r="I186" s="132" t="s">
        <v>21</v>
      </c>
      <c r="J186" s="142">
        <f>J199-B202-B203-B204-B209-B210-B211</f>
        <v>954.57</v>
      </c>
      <c r="K186" s="139"/>
      <c r="L186" s="146"/>
    </row>
    <row r="187" spans="1:12" s="137" customFormat="1" ht="15" hidden="1">
      <c r="A187" s="132" t="s">
        <v>116</v>
      </c>
      <c r="B187" s="143" t="str">
        <f>B6</f>
        <v>M</v>
      </c>
      <c r="C187" s="140"/>
      <c r="D187" s="141"/>
      <c r="E187" s="132"/>
      <c r="F187" s="132" t="s">
        <v>18</v>
      </c>
      <c r="G187" s="142">
        <f>Deductions_4/2</f>
        <v>0</v>
      </c>
      <c r="H187" s="132"/>
      <c r="I187" s="132"/>
      <c r="J187" s="141"/>
      <c r="L187" s="146"/>
    </row>
    <row r="188" spans="1:10" s="137" customFormat="1" ht="15" hidden="1">
      <c r="A188" s="132" t="s">
        <v>117</v>
      </c>
      <c r="B188" s="147">
        <f>B7</f>
        <v>0</v>
      </c>
      <c r="C188" s="140"/>
      <c r="D188" s="141"/>
      <c r="E188" s="132"/>
      <c r="F188" s="132" t="s">
        <v>17</v>
      </c>
      <c r="G188" s="142">
        <f>Deductions_05/2</f>
        <v>0</v>
      </c>
      <c r="H188" s="132"/>
      <c r="I188" s="132"/>
      <c r="J188" s="141"/>
    </row>
    <row r="189" spans="1:10" s="137" customFormat="1" ht="15" hidden="1">
      <c r="A189" s="132" t="s">
        <v>118</v>
      </c>
      <c r="B189" s="147">
        <f>B8</f>
        <v>0</v>
      </c>
      <c r="C189" s="140"/>
      <c r="D189" s="141"/>
      <c r="E189" s="132"/>
      <c r="F189" s="132" t="s">
        <v>15</v>
      </c>
      <c r="G189" s="142">
        <f>Deductions_06/2</f>
        <v>0</v>
      </c>
      <c r="H189" s="132"/>
      <c r="I189" s="136" t="s">
        <v>30</v>
      </c>
      <c r="J189" s="136"/>
    </row>
    <row r="190" spans="1:10" s="137" customFormat="1" ht="15" hidden="1">
      <c r="A190" s="132"/>
      <c r="B190" s="141"/>
      <c r="C190" s="140"/>
      <c r="D190" s="141"/>
      <c r="E190" s="132"/>
      <c r="F190" s="132" t="s">
        <v>13</v>
      </c>
      <c r="G190" s="142">
        <f>Deductions_07/2</f>
        <v>0</v>
      </c>
      <c r="H190" s="132"/>
      <c r="I190" s="132" t="s">
        <v>28</v>
      </c>
      <c r="J190" s="142" t="b">
        <f>G304</f>
        <v>0</v>
      </c>
    </row>
    <row r="191" spans="1:10" s="137" customFormat="1" ht="15" hidden="1">
      <c r="A191" s="132" t="s">
        <v>161</v>
      </c>
      <c r="B191" s="148" t="str">
        <f>B10</f>
        <v>None</v>
      </c>
      <c r="C191" s="140"/>
      <c r="D191" s="141"/>
      <c r="E191" s="132"/>
      <c r="F191" s="132" t="s">
        <v>11</v>
      </c>
      <c r="G191" s="142">
        <f>Deductions_08/2</f>
        <v>0</v>
      </c>
      <c r="H191" s="132"/>
      <c r="I191" s="132" t="s">
        <v>29</v>
      </c>
      <c r="J191" s="142">
        <f>IF(G324&gt;=0,G324,0)</f>
        <v>0</v>
      </c>
    </row>
    <row r="192" spans="1:10" s="137" customFormat="1" ht="15" hidden="1">
      <c r="A192" s="132"/>
      <c r="B192" s="132"/>
      <c r="C192" s="140"/>
      <c r="D192" s="141"/>
      <c r="E192" s="132"/>
      <c r="F192" s="132" t="s">
        <v>10</v>
      </c>
      <c r="G192" s="142">
        <f>Deductions_09/2</f>
        <v>0</v>
      </c>
      <c r="H192" s="132"/>
      <c r="I192" s="132"/>
      <c r="J192" s="141"/>
    </row>
    <row r="193" spans="1:10" s="137" customFormat="1" ht="15" hidden="1">
      <c r="A193" s="136" t="s">
        <v>157</v>
      </c>
      <c r="B193" s="132"/>
      <c r="C193" s="140"/>
      <c r="D193" s="141"/>
      <c r="E193" s="132"/>
      <c r="F193" s="132" t="s">
        <v>9</v>
      </c>
      <c r="G193" s="142">
        <f>Deductions_010/2</f>
        <v>0</v>
      </c>
      <c r="H193" s="132"/>
      <c r="I193" s="175" t="s">
        <v>154</v>
      </c>
      <c r="J193" s="175"/>
    </row>
    <row r="194" spans="1:10" s="137" customFormat="1" ht="15" hidden="1">
      <c r="A194" s="132" t="s">
        <v>4</v>
      </c>
      <c r="B194" s="148" t="str">
        <f>IF(J214="FICA","Y",IF(J214&lt;&gt;"FICA","N"))</f>
        <v>Y</v>
      </c>
      <c r="C194" s="140"/>
      <c r="D194" s="141"/>
      <c r="E194" s="132"/>
      <c r="F194" s="132" t="s">
        <v>7</v>
      </c>
      <c r="G194" s="123">
        <f>SUM(G183:G193)</f>
        <v>0</v>
      </c>
      <c r="H194" s="132"/>
      <c r="I194" s="132" t="s">
        <v>6</v>
      </c>
      <c r="J194" s="142">
        <f>IF(B195="Y",J186*1.45%,IF(B195="N",0))</f>
        <v>13.841265</v>
      </c>
    </row>
    <row r="195" spans="1:10" s="137" customFormat="1" ht="15" hidden="1">
      <c r="A195" s="132" t="s">
        <v>6</v>
      </c>
      <c r="B195" s="148" t="str">
        <f>IF(J214="FICA","Y",IF(J214="Medicare","Y",IF(J214="Neither","N")))</f>
        <v>Y</v>
      </c>
      <c r="C195" s="140"/>
      <c r="D195" s="141"/>
      <c r="E195" s="132"/>
      <c r="F195" s="122" t="s">
        <v>1</v>
      </c>
      <c r="H195" s="132"/>
      <c r="I195" s="132" t="s">
        <v>4</v>
      </c>
      <c r="J195" s="142">
        <f>IF(B194="Y",J186*4.2%,IF(B194="N",0))</f>
        <v>40.09194000000001</v>
      </c>
    </row>
    <row r="196" spans="1:10" s="137" customFormat="1" ht="15" hidden="1">
      <c r="A196" s="132" t="s">
        <v>146</v>
      </c>
      <c r="B196" s="148" t="str">
        <f>IF(J214="Neither","Y",IF(J214="FICA","N",IF(J214="Medicare","N")))</f>
        <v>N</v>
      </c>
      <c r="C196" s="140"/>
      <c r="D196" s="141"/>
      <c r="E196" s="132"/>
      <c r="G196" s="132"/>
      <c r="H196" s="132"/>
      <c r="I196" s="122" t="s">
        <v>2</v>
      </c>
      <c r="J196" s="123">
        <f>SUM(J193:J195)</f>
        <v>53.93320500000001</v>
      </c>
    </row>
    <row r="197" spans="1:10" s="137" customFormat="1" ht="15" hidden="1">
      <c r="A197" s="132"/>
      <c r="B197" s="141"/>
      <c r="C197" s="140"/>
      <c r="D197" s="141"/>
      <c r="E197" s="132"/>
      <c r="F197" s="132"/>
      <c r="G197" s="132"/>
      <c r="H197" s="132"/>
      <c r="I197" s="132"/>
      <c r="J197" s="132"/>
    </row>
    <row r="198" spans="1:10" s="137" customFormat="1" ht="15.75" hidden="1" thickBot="1">
      <c r="A198" s="175" t="s">
        <v>27</v>
      </c>
      <c r="B198" s="175"/>
      <c r="C198" s="140"/>
      <c r="D198" s="141"/>
      <c r="E198" s="132"/>
      <c r="F198" s="132"/>
      <c r="H198" s="132"/>
      <c r="I198" s="132"/>
      <c r="J198" s="141"/>
    </row>
    <row r="199" spans="1:10" s="137" customFormat="1" ht="15.75" hidden="1">
      <c r="A199" s="132"/>
      <c r="B199" s="132"/>
      <c r="C199" s="140"/>
      <c r="D199" s="141"/>
      <c r="E199" s="132"/>
      <c r="G199" s="141"/>
      <c r="H199" s="132"/>
      <c r="I199" s="151" t="s">
        <v>25</v>
      </c>
      <c r="J199" s="152">
        <f>ROUND(C183*D183,2)</f>
        <v>1052</v>
      </c>
    </row>
    <row r="200" spans="1:10" s="137" customFormat="1" ht="15.75" hidden="1">
      <c r="A200" s="132" t="s">
        <v>20</v>
      </c>
      <c r="B200" s="142">
        <f>IF(AND(Retirement_2="UCRP",J213="UCRP2"),J219,IF(Retirement_2="UCRP",J218,IF(Retirement_2="DCP CAS",0,IF(Retirement_2="NONE",0))))</f>
        <v>17.82</v>
      </c>
      <c r="C200" s="140"/>
      <c r="D200" s="141"/>
      <c r="E200" s="132"/>
      <c r="F200" s="132"/>
      <c r="G200" s="141"/>
      <c r="H200" s="132"/>
      <c r="I200" s="153" t="s">
        <v>162</v>
      </c>
      <c r="J200" s="154"/>
    </row>
    <row r="201" spans="1:10" s="137" customFormat="1" ht="15.75" hidden="1">
      <c r="A201" s="132" t="s">
        <v>160</v>
      </c>
      <c r="B201" s="142">
        <f>IF(J215="DCP CAS",F236,IF(J215="UCRP",0,IF(J215="None",0)))</f>
        <v>0</v>
      </c>
      <c r="C201" s="140"/>
      <c r="D201" s="141"/>
      <c r="E201" s="132"/>
      <c r="F201" s="132"/>
      <c r="G201" s="141"/>
      <c r="H201" s="132"/>
      <c r="I201" s="156" t="s">
        <v>4</v>
      </c>
      <c r="J201" s="154">
        <f>J195</f>
        <v>40.09194000000001</v>
      </c>
    </row>
    <row r="202" spans="1:10" s="137" customFormat="1" ht="15.75" hidden="1">
      <c r="A202" s="137" t="s">
        <v>16</v>
      </c>
      <c r="B202" s="155">
        <f>Medical_Premium/2</f>
        <v>58.43</v>
      </c>
      <c r="C202" s="140"/>
      <c r="D202" s="141"/>
      <c r="E202" s="132"/>
      <c r="F202" s="132"/>
      <c r="G202" s="141"/>
      <c r="H202" s="132"/>
      <c r="I202" s="157" t="s">
        <v>6</v>
      </c>
      <c r="J202" s="154">
        <f>J194</f>
        <v>13.841265</v>
      </c>
    </row>
    <row r="203" spans="1:10" s="137" customFormat="1" ht="16.5" hidden="1" thickBot="1">
      <c r="A203" s="132" t="s">
        <v>166</v>
      </c>
      <c r="B203" s="155">
        <f>Health_FSA/2</f>
        <v>0</v>
      </c>
      <c r="C203" s="140"/>
      <c r="D203" s="141"/>
      <c r="E203" s="132"/>
      <c r="F203" s="132"/>
      <c r="G203" s="132"/>
      <c r="H203" s="132"/>
      <c r="I203" s="157" t="s">
        <v>167</v>
      </c>
      <c r="J203" s="154">
        <f>B212+G194+J190+J191+J198</f>
        <v>210.06</v>
      </c>
    </row>
    <row r="204" spans="1:11" s="137" customFormat="1" ht="16.5" hidden="1" thickBot="1">
      <c r="A204" s="132" t="s">
        <v>12</v>
      </c>
      <c r="B204" s="155">
        <f>DepCare_FSA/2</f>
        <v>0</v>
      </c>
      <c r="C204" s="140"/>
      <c r="D204" s="141"/>
      <c r="E204" s="132"/>
      <c r="F204" s="132"/>
      <c r="G204" s="132"/>
      <c r="H204" s="132"/>
      <c r="I204" s="158" t="s">
        <v>163</v>
      </c>
      <c r="J204" s="159">
        <f>ROUND(J199-J201-J202-J203,2)</f>
        <v>788.01</v>
      </c>
      <c r="K204" s="138"/>
    </row>
    <row r="205" spans="1:10" s="137" customFormat="1" ht="15" hidden="1">
      <c r="A205" s="132" t="s">
        <v>33</v>
      </c>
      <c r="B205" s="155">
        <f>_403B_Flat/2</f>
        <v>0</v>
      </c>
      <c r="C205" s="140"/>
      <c r="D205" s="141"/>
      <c r="E205" s="132"/>
      <c r="F205" s="132"/>
      <c r="G205" s="132"/>
      <c r="H205" s="132"/>
      <c r="I205" s="132"/>
      <c r="J205" s="141"/>
    </row>
    <row r="206" spans="1:10" s="137" customFormat="1" ht="15" hidden="1">
      <c r="A206" s="132" t="s">
        <v>34</v>
      </c>
      <c r="B206" s="155">
        <f>_403B_Percent/2</f>
        <v>94.81</v>
      </c>
      <c r="C206" s="140"/>
      <c r="D206" s="141"/>
      <c r="E206" s="132"/>
      <c r="F206" s="132"/>
      <c r="G206" s="132"/>
      <c r="H206" s="132"/>
      <c r="I206" s="132"/>
      <c r="J206" s="141"/>
    </row>
    <row r="207" spans="1:10" s="137" customFormat="1" ht="15" hidden="1">
      <c r="A207" s="132" t="s">
        <v>35</v>
      </c>
      <c r="B207" s="155">
        <f>_457B_Flat/2</f>
        <v>0</v>
      </c>
      <c r="C207" s="140"/>
      <c r="D207" s="141"/>
      <c r="E207" s="132"/>
      <c r="F207" s="132"/>
      <c r="G207" s="132"/>
      <c r="H207" s="132"/>
      <c r="I207" s="132"/>
      <c r="J207" s="141"/>
    </row>
    <row r="208" spans="1:10" s="137" customFormat="1" ht="15" hidden="1">
      <c r="A208" s="132" t="s">
        <v>36</v>
      </c>
      <c r="B208" s="155">
        <f>_457B_Percent/2</f>
        <v>0</v>
      </c>
      <c r="C208" s="140"/>
      <c r="D208" s="141"/>
      <c r="E208" s="132"/>
      <c r="F208" s="132"/>
      <c r="G208" s="132"/>
      <c r="H208" s="132"/>
      <c r="I208" s="132"/>
      <c r="J208" s="132"/>
    </row>
    <row r="209" spans="1:10" s="137" customFormat="1" ht="15" hidden="1">
      <c r="A209" s="132" t="s">
        <v>8</v>
      </c>
      <c r="B209" s="155">
        <f>Parking_Pretaxed/2</f>
        <v>0</v>
      </c>
      <c r="C209" s="140"/>
      <c r="D209" s="141"/>
      <c r="E209" s="132"/>
      <c r="F209" s="132"/>
      <c r="G209" s="132"/>
      <c r="H209" s="132"/>
      <c r="I209" s="132"/>
      <c r="J209" s="141"/>
    </row>
    <row r="210" spans="1:10" s="137" customFormat="1" ht="15" hidden="1">
      <c r="A210" s="132" t="s">
        <v>5</v>
      </c>
      <c r="B210" s="155">
        <f>Vanpool_Pretaxed/2</f>
        <v>0</v>
      </c>
      <c r="C210" s="140"/>
      <c r="D210" s="141"/>
      <c r="E210" s="132"/>
      <c r="F210" s="132"/>
      <c r="G210" s="132"/>
      <c r="H210" s="132"/>
      <c r="I210" s="132"/>
      <c r="J210" s="132"/>
    </row>
    <row r="211" spans="1:10" s="137" customFormat="1" ht="15" hidden="1">
      <c r="A211" s="132" t="s">
        <v>148</v>
      </c>
      <c r="B211" s="155">
        <f>Transit_Pretaxed/2</f>
        <v>39</v>
      </c>
      <c r="C211" s="140"/>
      <c r="D211" s="141"/>
      <c r="E211" s="132"/>
      <c r="F211" s="132"/>
      <c r="G211" s="132"/>
      <c r="H211" s="132"/>
      <c r="I211" s="132"/>
      <c r="J211" s="132"/>
    </row>
    <row r="212" spans="1:7" s="53" customFormat="1" ht="15" hidden="1">
      <c r="A212" s="160" t="s">
        <v>3</v>
      </c>
      <c r="B212" s="161">
        <f>SUM(B200:B211)</f>
        <v>210.06</v>
      </c>
      <c r="C212" s="162"/>
      <c r="D212" s="141"/>
      <c r="E212" s="132"/>
      <c r="F212" s="132"/>
      <c r="G212" s="49">
        <v>174</v>
      </c>
    </row>
    <row r="213" spans="3:7" s="53" customFormat="1" ht="15" hidden="1">
      <c r="C213" s="52"/>
      <c r="F213" s="49">
        <v>19.95</v>
      </c>
      <c r="G213" s="49">
        <f>F213*G212</f>
        <v>3471.2999999999997</v>
      </c>
    </row>
    <row r="214" spans="2:10" s="53" customFormat="1" ht="15" hidden="1">
      <c r="B214" s="49"/>
      <c r="C214" s="52"/>
      <c r="F214" s="49"/>
      <c r="I214" s="53" t="s">
        <v>159</v>
      </c>
      <c r="J214" s="53" t="s">
        <v>2</v>
      </c>
    </row>
    <row r="215" spans="1:10" s="53" customFormat="1" ht="15" hidden="1">
      <c r="A215" s="50" t="s">
        <v>57</v>
      </c>
      <c r="B215" s="51">
        <f>J199</f>
        <v>1052</v>
      </c>
      <c r="C215" s="52"/>
      <c r="D215" s="109"/>
      <c r="I215" s="53" t="s">
        <v>158</v>
      </c>
      <c r="J215" s="53" t="s">
        <v>168</v>
      </c>
    </row>
    <row r="216" spans="3:10" s="53" customFormat="1" ht="15" hidden="1">
      <c r="C216" s="52"/>
      <c r="I216" s="53" t="s">
        <v>58</v>
      </c>
      <c r="J216" s="49" t="s">
        <v>146</v>
      </c>
    </row>
    <row r="217" spans="1:6" s="53" customFormat="1" ht="15" hidden="1">
      <c r="A217" s="54"/>
      <c r="B217" s="55" t="s">
        <v>54</v>
      </c>
      <c r="C217" s="56" t="s">
        <v>22</v>
      </c>
      <c r="D217" s="56" t="s">
        <v>55</v>
      </c>
      <c r="E217" s="57"/>
      <c r="F217" s="57" t="s">
        <v>56</v>
      </c>
    </row>
    <row r="218" spans="1:10" s="53" customFormat="1" ht="15" hidden="1">
      <c r="A218" s="54" t="s">
        <v>50</v>
      </c>
      <c r="B218" s="58">
        <v>0.035</v>
      </c>
      <c r="C218" s="59">
        <f>B215*B218</f>
        <v>36.82</v>
      </c>
      <c r="D218" s="59">
        <v>19</v>
      </c>
      <c r="E218" s="59"/>
      <c r="F218" s="60">
        <f aca="true" t="shared" si="1" ref="F218:F230">C218-D218</f>
        <v>17.82</v>
      </c>
      <c r="I218" s="53" t="s">
        <v>50</v>
      </c>
      <c r="J218" s="108">
        <f>F218</f>
        <v>17.82</v>
      </c>
    </row>
    <row r="219" spans="1:10" s="53" customFormat="1" ht="15" hidden="1">
      <c r="A219" s="54" t="s">
        <v>49</v>
      </c>
      <c r="B219" s="58">
        <v>0.035</v>
      </c>
      <c r="C219" s="59">
        <f>B215*B219</f>
        <v>36.82</v>
      </c>
      <c r="D219" s="59">
        <v>19</v>
      </c>
      <c r="E219" s="59"/>
      <c r="F219" s="60">
        <f t="shared" si="1"/>
        <v>17.82</v>
      </c>
      <c r="I219" s="53" t="s">
        <v>164</v>
      </c>
      <c r="J219" s="108">
        <f>F232</f>
        <v>25.499599999999994</v>
      </c>
    </row>
    <row r="220" spans="1:10" s="53" customFormat="1" ht="15" hidden="1">
      <c r="A220" s="54" t="s">
        <v>38</v>
      </c>
      <c r="B220" s="58">
        <v>0.035</v>
      </c>
      <c r="C220" s="59">
        <f>B215*B220</f>
        <v>36.82</v>
      </c>
      <c r="D220" s="59">
        <v>19</v>
      </c>
      <c r="E220" s="59"/>
      <c r="F220" s="60">
        <f t="shared" si="1"/>
        <v>17.82</v>
      </c>
      <c r="I220" s="53" t="s">
        <v>165</v>
      </c>
      <c r="J220" s="108">
        <f>F236</f>
        <v>78.89999999999999</v>
      </c>
    </row>
    <row r="221" spans="1:6" s="53" customFormat="1" ht="15" hidden="1">
      <c r="A221" s="54" t="s">
        <v>39</v>
      </c>
      <c r="B221" s="58">
        <v>0.035</v>
      </c>
      <c r="C221" s="59">
        <f>B215*B221</f>
        <v>36.82</v>
      </c>
      <c r="D221" s="59">
        <v>19</v>
      </c>
      <c r="E221" s="59"/>
      <c r="F221" s="60">
        <f t="shared" si="1"/>
        <v>17.82</v>
      </c>
    </row>
    <row r="222" spans="1:6" s="53" customFormat="1" ht="15" hidden="1">
      <c r="A222" s="54" t="s">
        <v>40</v>
      </c>
      <c r="B222" s="58">
        <v>0.035</v>
      </c>
      <c r="C222" s="59">
        <f>B215*B222</f>
        <v>36.82</v>
      </c>
      <c r="D222" s="59">
        <v>19</v>
      </c>
      <c r="E222" s="59"/>
      <c r="F222" s="60">
        <f t="shared" si="1"/>
        <v>17.82</v>
      </c>
    </row>
    <row r="223" spans="1:6" s="53" customFormat="1" ht="15" hidden="1">
      <c r="A223" s="54" t="s">
        <v>41</v>
      </c>
      <c r="B223" s="58">
        <v>0.035</v>
      </c>
      <c r="C223" s="59">
        <f>B215*B223</f>
        <v>36.82</v>
      </c>
      <c r="D223" s="59">
        <v>19</v>
      </c>
      <c r="E223" s="59"/>
      <c r="F223" s="60">
        <f t="shared" si="1"/>
        <v>17.82</v>
      </c>
    </row>
    <row r="224" spans="1:6" s="53" customFormat="1" ht="15" hidden="1">
      <c r="A224" s="54" t="s">
        <v>42</v>
      </c>
      <c r="B224" s="58">
        <v>0.035</v>
      </c>
      <c r="C224" s="59">
        <f>B215*B224</f>
        <v>36.82</v>
      </c>
      <c r="D224" s="59">
        <v>19</v>
      </c>
      <c r="E224" s="59"/>
      <c r="F224" s="60">
        <f t="shared" si="1"/>
        <v>17.82</v>
      </c>
    </row>
    <row r="225" spans="1:6" s="53" customFormat="1" ht="15" hidden="1">
      <c r="A225" s="54" t="s">
        <v>43</v>
      </c>
      <c r="B225" s="58">
        <v>0.035</v>
      </c>
      <c r="C225" s="59">
        <f>B215*B225</f>
        <v>36.82</v>
      </c>
      <c r="D225" s="59">
        <v>19</v>
      </c>
      <c r="E225" s="59"/>
      <c r="F225" s="60">
        <f t="shared" si="1"/>
        <v>17.82</v>
      </c>
    </row>
    <row r="226" spans="1:6" s="53" customFormat="1" ht="15" hidden="1">
      <c r="A226" s="54" t="s">
        <v>44</v>
      </c>
      <c r="B226" s="58">
        <v>0.035</v>
      </c>
      <c r="C226" s="59">
        <f>B215*B226</f>
        <v>36.82</v>
      </c>
      <c r="D226" s="59">
        <v>19</v>
      </c>
      <c r="E226" s="59"/>
      <c r="F226" s="60">
        <f t="shared" si="1"/>
        <v>17.82</v>
      </c>
    </row>
    <row r="227" spans="1:10" s="53" customFormat="1" ht="15" hidden="1">
      <c r="A227" s="54" t="s">
        <v>45</v>
      </c>
      <c r="B227" s="58">
        <v>0.035</v>
      </c>
      <c r="C227" s="59">
        <f>B215*B227</f>
        <v>36.82</v>
      </c>
      <c r="D227" s="59">
        <v>19</v>
      </c>
      <c r="E227" s="59"/>
      <c r="F227" s="60">
        <f t="shared" si="1"/>
        <v>17.82</v>
      </c>
      <c r="J227" s="49"/>
    </row>
    <row r="228" spans="1:10" s="53" customFormat="1" ht="15" hidden="1">
      <c r="A228" s="54" t="s">
        <v>46</v>
      </c>
      <c r="B228" s="58">
        <v>0.035</v>
      </c>
      <c r="C228" s="59">
        <f>B215*B228</f>
        <v>36.82</v>
      </c>
      <c r="D228" s="59">
        <v>19</v>
      </c>
      <c r="E228" s="59"/>
      <c r="F228" s="60">
        <f t="shared" si="1"/>
        <v>17.82</v>
      </c>
      <c r="J228" s="49"/>
    </row>
    <row r="229" spans="1:10" s="53" customFormat="1" ht="15" hidden="1">
      <c r="A229" s="54" t="s">
        <v>47</v>
      </c>
      <c r="B229" s="58">
        <v>0.035</v>
      </c>
      <c r="C229" s="59">
        <f>B215*B229</f>
        <v>36.82</v>
      </c>
      <c r="D229" s="59">
        <v>19</v>
      </c>
      <c r="E229" s="59"/>
      <c r="F229" s="60">
        <f t="shared" si="1"/>
        <v>17.82</v>
      </c>
      <c r="J229" s="49"/>
    </row>
    <row r="230" spans="1:10" s="53" customFormat="1" ht="15" hidden="1">
      <c r="A230" s="54" t="s">
        <v>48</v>
      </c>
      <c r="B230" s="58">
        <v>0.035</v>
      </c>
      <c r="C230" s="59">
        <f>B215*B230</f>
        <v>36.82</v>
      </c>
      <c r="D230" s="59">
        <v>19</v>
      </c>
      <c r="E230" s="59"/>
      <c r="F230" s="60">
        <f t="shared" si="1"/>
        <v>17.82</v>
      </c>
      <c r="J230" s="49"/>
    </row>
    <row r="231" spans="1:10" s="53" customFormat="1" ht="15" hidden="1">
      <c r="A231" s="54"/>
      <c r="B231" s="58"/>
      <c r="C231" s="59"/>
      <c r="D231" s="59"/>
      <c r="E231" s="59"/>
      <c r="F231" s="60"/>
      <c r="J231" s="49"/>
    </row>
    <row r="232" spans="1:10" s="53" customFormat="1" ht="15" hidden="1">
      <c r="A232" s="54" t="s">
        <v>51</v>
      </c>
      <c r="B232" s="58">
        <v>0.0423</v>
      </c>
      <c r="C232" s="59">
        <f>B215*B232</f>
        <v>44.499599999999994</v>
      </c>
      <c r="D232" s="59">
        <v>19</v>
      </c>
      <c r="E232" s="59"/>
      <c r="F232" s="60">
        <f>C232-D232</f>
        <v>25.499599999999994</v>
      </c>
      <c r="J232" s="49"/>
    </row>
    <row r="233" spans="1:10" s="53" customFormat="1" ht="15" hidden="1">
      <c r="A233" s="54" t="s">
        <v>52</v>
      </c>
      <c r="B233" s="58">
        <v>0.0423</v>
      </c>
      <c r="C233" s="59">
        <f>B215*B233</f>
        <v>44.499599999999994</v>
      </c>
      <c r="D233" s="59">
        <v>19</v>
      </c>
      <c r="E233" s="59"/>
      <c r="F233" s="60">
        <f>C233-D233</f>
        <v>25.499599999999994</v>
      </c>
      <c r="J233" s="49"/>
    </row>
    <row r="234" spans="1:10" s="53" customFormat="1" ht="15" hidden="1">
      <c r="A234" s="54" t="s">
        <v>53</v>
      </c>
      <c r="B234" s="58">
        <v>0.0423</v>
      </c>
      <c r="C234" s="59">
        <f>B215*B234</f>
        <v>44.499599999999994</v>
      </c>
      <c r="D234" s="59">
        <v>19</v>
      </c>
      <c r="E234" s="59"/>
      <c r="F234" s="60">
        <f>C234-D234</f>
        <v>25.499599999999994</v>
      </c>
      <c r="J234" s="49"/>
    </row>
    <row r="235" spans="1:10" s="53" customFormat="1" ht="15" hidden="1">
      <c r="A235" s="54"/>
      <c r="B235" s="58"/>
      <c r="C235" s="59"/>
      <c r="D235" s="59"/>
      <c r="E235" s="59"/>
      <c r="F235" s="60"/>
      <c r="J235" s="49"/>
    </row>
    <row r="236" spans="1:10" s="53" customFormat="1" ht="15" hidden="1">
      <c r="A236" s="54" t="s">
        <v>37</v>
      </c>
      <c r="B236" s="58">
        <v>0.075</v>
      </c>
      <c r="C236" s="59">
        <f>B215*B236</f>
        <v>78.89999999999999</v>
      </c>
      <c r="D236" s="59">
        <v>0</v>
      </c>
      <c r="E236" s="59"/>
      <c r="F236" s="60">
        <f>C236-D236</f>
        <v>78.89999999999999</v>
      </c>
      <c r="J236" s="49"/>
    </row>
    <row r="237" spans="3:10" s="53" customFormat="1" ht="15" hidden="1">
      <c r="C237" s="52"/>
      <c r="J237" s="49"/>
    </row>
    <row r="238" spans="1:10" s="53" customFormat="1" ht="15.75" hidden="1">
      <c r="A238" s="61" t="s">
        <v>58</v>
      </c>
      <c r="B238" s="61" t="s">
        <v>62</v>
      </c>
      <c r="C238" s="61" t="s">
        <v>59</v>
      </c>
      <c r="D238" s="61" t="s">
        <v>60</v>
      </c>
      <c r="E238" s="61"/>
      <c r="F238" s="61" t="s">
        <v>61</v>
      </c>
      <c r="J238" s="49"/>
    </row>
    <row r="239" spans="1:10" s="53" customFormat="1" ht="15.75" hidden="1">
      <c r="A239" s="62" t="s">
        <v>39</v>
      </c>
      <c r="B239" s="63">
        <v>0.0144</v>
      </c>
      <c r="C239" s="62">
        <f>B215*B239</f>
        <v>15.1488</v>
      </c>
      <c r="D239" s="63">
        <v>0.00475</v>
      </c>
      <c r="E239" s="62"/>
      <c r="F239" s="62">
        <f>B215*D239</f>
        <v>4.997</v>
      </c>
      <c r="J239" s="49"/>
    </row>
    <row r="240" spans="1:10" s="53" customFormat="1" ht="15.75" hidden="1">
      <c r="A240" s="62" t="s">
        <v>40</v>
      </c>
      <c r="B240" s="63">
        <v>0.015</v>
      </c>
      <c r="C240" s="62">
        <f>IF(B215*B240&lt;=62.61,B215*B240,62.61)</f>
        <v>15.78</v>
      </c>
      <c r="D240" s="63">
        <v>0.015</v>
      </c>
      <c r="E240" s="62"/>
      <c r="F240" s="62">
        <f>IF(B215*D240&lt;=62.61,B215*D240,62.61)</f>
        <v>15.78</v>
      </c>
      <c r="J240" s="49"/>
    </row>
    <row r="241" spans="1:10" s="53" customFormat="1" ht="15.75" hidden="1">
      <c r="A241" s="62" t="s">
        <v>41</v>
      </c>
      <c r="B241" s="63">
        <v>0.013</v>
      </c>
      <c r="C241" s="62">
        <f>IF(B215*B241&lt;=60,B215*B241,60)</f>
        <v>13.676</v>
      </c>
      <c r="D241" s="63">
        <v>0.013</v>
      </c>
      <c r="E241" s="62"/>
      <c r="F241" s="62">
        <f>IF(B215*D241&lt;=60,B215*D241,60)</f>
        <v>13.676</v>
      </c>
      <c r="J241" s="49"/>
    </row>
    <row r="242" spans="1:10" s="53" customFormat="1" ht="15.75" hidden="1">
      <c r="A242" s="62" t="s">
        <v>42</v>
      </c>
      <c r="B242" s="63">
        <v>0.0135</v>
      </c>
      <c r="C242" s="62">
        <f>IF(B215*B242&lt;=65,B215*B242,65)</f>
        <v>14.202</v>
      </c>
      <c r="D242" s="63">
        <v>0.0135</v>
      </c>
      <c r="E242" s="62"/>
      <c r="F242" s="62">
        <f>IF(B215*D242&lt;=65,B215*D242,65)</f>
        <v>14.202</v>
      </c>
      <c r="J242" s="49"/>
    </row>
    <row r="243" spans="1:10" s="53" customFormat="1" ht="15.75" hidden="1">
      <c r="A243" s="62" t="s">
        <v>44</v>
      </c>
      <c r="B243" s="63">
        <v>0.0135</v>
      </c>
      <c r="C243" s="62">
        <f>IF(B215*B243&lt;=65,B215*B243,65)</f>
        <v>14.202</v>
      </c>
      <c r="D243" s="63">
        <v>0.0135</v>
      </c>
      <c r="E243" s="62"/>
      <c r="F243" s="62">
        <f>IF(B215*D243&lt;=65,B215*D243,65)</f>
        <v>14.202</v>
      </c>
      <c r="J243" s="49"/>
    </row>
    <row r="244" spans="1:10" s="53" customFormat="1" ht="15.75" hidden="1">
      <c r="A244" s="62" t="s">
        <v>45</v>
      </c>
      <c r="B244" s="63">
        <v>1.015</v>
      </c>
      <c r="C244" s="62">
        <f>IF(D183&gt;24,B244*C183,IF(D183&lt;24,25.86,""))</f>
        <v>26.694499999999998</v>
      </c>
      <c r="D244" s="63">
        <v>1.015</v>
      </c>
      <c r="E244" s="62"/>
      <c r="F244" s="62">
        <f>IF(D183&gt;24,0.8907*B244*C183,IF(D183&lt;24,23.03,""))</f>
        <v>23.776791149999998</v>
      </c>
      <c r="J244" s="49"/>
    </row>
    <row r="245" spans="1:10" s="53" customFormat="1" ht="15.75" hidden="1">
      <c r="A245" s="62" t="s">
        <v>52</v>
      </c>
      <c r="B245" s="63">
        <v>0.013</v>
      </c>
      <c r="C245" s="62">
        <f>B215*B245</f>
        <v>13.676</v>
      </c>
      <c r="D245" s="63">
        <v>0.013</v>
      </c>
      <c r="E245" s="62"/>
      <c r="F245" s="62">
        <f>B215*D245</f>
        <v>13.676</v>
      </c>
      <c r="J245" s="49"/>
    </row>
    <row r="246" spans="1:10" s="53" customFormat="1" ht="15.75" hidden="1">
      <c r="A246" s="62" t="s">
        <v>48</v>
      </c>
      <c r="B246" s="63">
        <v>0.015</v>
      </c>
      <c r="C246" s="62">
        <f>B215*B246</f>
        <v>15.78</v>
      </c>
      <c r="D246" s="63">
        <v>0.015</v>
      </c>
      <c r="E246" s="62"/>
      <c r="F246" s="62">
        <f>B215*D246</f>
        <v>15.78</v>
      </c>
      <c r="J246" s="49"/>
    </row>
    <row r="247" spans="1:10" s="53" customFormat="1" ht="15.75" hidden="1">
      <c r="A247" s="62" t="s">
        <v>53</v>
      </c>
      <c r="B247" s="63">
        <v>0.013</v>
      </c>
      <c r="C247" s="62">
        <f>B215*B247</f>
        <v>13.676</v>
      </c>
      <c r="D247" s="63">
        <v>0.013</v>
      </c>
      <c r="E247" s="62"/>
      <c r="F247" s="62">
        <f>B215*D247</f>
        <v>13.676</v>
      </c>
      <c r="J247" s="49"/>
    </row>
    <row r="248" spans="1:10" s="53" customFormat="1" ht="15.75" hidden="1">
      <c r="A248" s="62" t="s">
        <v>43</v>
      </c>
      <c r="B248" s="63">
        <v>0.012</v>
      </c>
      <c r="C248" s="62">
        <f>B215*B248</f>
        <v>12.624</v>
      </c>
      <c r="D248" s="63">
        <v>0.0108</v>
      </c>
      <c r="E248" s="62"/>
      <c r="F248" s="62">
        <f>B215*D248</f>
        <v>11.361600000000001</v>
      </c>
      <c r="J248" s="49"/>
    </row>
    <row r="249" spans="1:10" s="53" customFormat="1" ht="15.75" hidden="1">
      <c r="A249" s="62"/>
      <c r="B249" s="63"/>
      <c r="C249" s="62"/>
      <c r="D249" s="63"/>
      <c r="E249" s="62"/>
      <c r="F249" s="62"/>
      <c r="J249" s="49"/>
    </row>
    <row r="250" spans="1:10" s="53" customFormat="1" ht="15.75" hidden="1">
      <c r="A250" s="62"/>
      <c r="B250" s="63"/>
      <c r="C250" s="62"/>
      <c r="D250" s="63"/>
      <c r="E250" s="62"/>
      <c r="F250" s="62"/>
      <c r="J250" s="49"/>
    </row>
    <row r="251" spans="1:10" s="53" customFormat="1" ht="15.75" hidden="1">
      <c r="A251" s="64" t="s">
        <v>104</v>
      </c>
      <c r="B251" s="49">
        <f>C244</f>
        <v>26.694499999999998</v>
      </c>
      <c r="C251" s="52"/>
      <c r="D251" s="49"/>
      <c r="G251" s="89">
        <v>36.13</v>
      </c>
      <c r="J251" s="49"/>
    </row>
    <row r="252" spans="1:10" s="53" customFormat="1" ht="15.75" hidden="1">
      <c r="A252" s="64" t="s">
        <v>105</v>
      </c>
      <c r="B252" s="49">
        <f>F244</f>
        <v>23.776791149999998</v>
      </c>
      <c r="C252" s="52"/>
      <c r="D252" s="49"/>
      <c r="F252" s="88" t="s">
        <v>147</v>
      </c>
      <c r="G252" s="89"/>
      <c r="J252" s="49"/>
    </row>
    <row r="253" spans="1:10" s="53" customFormat="1" ht="15.75" hidden="1">
      <c r="A253" s="64" t="s">
        <v>95</v>
      </c>
      <c r="B253" s="49">
        <f>F239</f>
        <v>4.997</v>
      </c>
      <c r="C253" s="52"/>
      <c r="F253" s="88" t="s">
        <v>19</v>
      </c>
      <c r="G253" s="89"/>
      <c r="J253" s="49"/>
    </row>
    <row r="254" spans="1:10" s="53" customFormat="1" ht="15.75" hidden="1">
      <c r="A254" s="64" t="s">
        <v>94</v>
      </c>
      <c r="B254" s="49">
        <f>C239</f>
        <v>15.1488</v>
      </c>
      <c r="C254" s="52"/>
      <c r="D254" s="49"/>
      <c r="F254" s="88" t="s">
        <v>18</v>
      </c>
      <c r="G254" s="89"/>
      <c r="J254" s="49"/>
    </row>
    <row r="255" spans="1:10" s="53" customFormat="1" ht="15.75" hidden="1">
      <c r="A255" s="64" t="s">
        <v>97</v>
      </c>
      <c r="B255" s="49">
        <f>F240</f>
        <v>15.78</v>
      </c>
      <c r="C255" s="52"/>
      <c r="D255" s="49"/>
      <c r="F255" s="88" t="s">
        <v>17</v>
      </c>
      <c r="G255" s="89"/>
      <c r="J255" s="49"/>
    </row>
    <row r="256" spans="1:10" s="53" customFormat="1" ht="15.75" hidden="1">
      <c r="A256" s="64" t="s">
        <v>96</v>
      </c>
      <c r="B256" s="49">
        <f>C240</f>
        <v>15.78</v>
      </c>
      <c r="C256" s="52"/>
      <c r="D256" s="49"/>
      <c r="F256" s="88" t="s">
        <v>15</v>
      </c>
      <c r="G256" s="89"/>
      <c r="J256" s="49"/>
    </row>
    <row r="257" spans="1:10" s="53" customFormat="1" ht="15.75" hidden="1">
      <c r="A257" s="64" t="s">
        <v>99</v>
      </c>
      <c r="B257" s="49">
        <f>F241</f>
        <v>13.676</v>
      </c>
      <c r="C257" s="52"/>
      <c r="D257" s="49"/>
      <c r="F257" s="88" t="s">
        <v>13</v>
      </c>
      <c r="G257" s="89"/>
      <c r="J257" s="49"/>
    </row>
    <row r="258" spans="1:10" s="53" customFormat="1" ht="15.75" hidden="1">
      <c r="A258" s="64" t="s">
        <v>98</v>
      </c>
      <c r="B258" s="49">
        <f>C241</f>
        <v>13.676</v>
      </c>
      <c r="C258" s="52"/>
      <c r="D258" s="49"/>
      <c r="F258" s="88" t="s">
        <v>11</v>
      </c>
      <c r="G258" s="89"/>
      <c r="J258" s="49"/>
    </row>
    <row r="259" spans="1:10" s="53" customFormat="1" ht="15.75" hidden="1">
      <c r="A259" s="64" t="s">
        <v>101</v>
      </c>
      <c r="B259" s="49">
        <f>F242</f>
        <v>14.202</v>
      </c>
      <c r="C259" s="52"/>
      <c r="D259" s="49"/>
      <c r="F259" s="88" t="s">
        <v>10</v>
      </c>
      <c r="G259" s="89"/>
      <c r="J259" s="49"/>
    </row>
    <row r="260" spans="1:10" s="53" customFormat="1" ht="15.75" hidden="1">
      <c r="A260" s="64" t="s">
        <v>100</v>
      </c>
      <c r="B260" s="49">
        <f>C242</f>
        <v>14.202</v>
      </c>
      <c r="C260" s="52"/>
      <c r="D260" s="49"/>
      <c r="F260" s="88" t="s">
        <v>9</v>
      </c>
      <c r="G260" s="89"/>
      <c r="J260" s="49"/>
    </row>
    <row r="261" spans="1:10" s="53" customFormat="1" ht="15.75" hidden="1">
      <c r="A261" s="64" t="s">
        <v>113</v>
      </c>
      <c r="B261" s="49">
        <f>F248</f>
        <v>11.361600000000001</v>
      </c>
      <c r="C261" s="52"/>
      <c r="D261" s="49"/>
      <c r="F261" s="88" t="s">
        <v>7</v>
      </c>
      <c r="J261" s="49"/>
    </row>
    <row r="262" spans="1:10" s="53" customFormat="1" ht="15.75" hidden="1">
      <c r="A262" s="64" t="s">
        <v>112</v>
      </c>
      <c r="B262" s="49">
        <f>C248</f>
        <v>12.624</v>
      </c>
      <c r="C262" s="52"/>
      <c r="D262" s="49"/>
      <c r="J262" s="49"/>
    </row>
    <row r="263" spans="1:10" s="53" customFormat="1" ht="15.75" hidden="1">
      <c r="A263" s="64" t="s">
        <v>103</v>
      </c>
      <c r="B263" s="49">
        <f>F243</f>
        <v>14.202</v>
      </c>
      <c r="C263" s="52"/>
      <c r="D263" s="49"/>
      <c r="J263" s="49"/>
    </row>
    <row r="264" spans="1:10" s="53" customFormat="1" ht="15.75" hidden="1">
      <c r="A264" s="64" t="s">
        <v>102</v>
      </c>
      <c r="B264" s="49">
        <f>C243</f>
        <v>14.202</v>
      </c>
      <c r="C264" s="52"/>
      <c r="D264" s="49"/>
      <c r="J264" s="49"/>
    </row>
    <row r="265" spans="1:10" s="53" customFormat="1" ht="15.75" hidden="1">
      <c r="A265" s="64" t="s">
        <v>146</v>
      </c>
      <c r="B265" s="49">
        <f>F249</f>
        <v>0</v>
      </c>
      <c r="C265" s="52"/>
      <c r="D265" s="49">
        <f>VLOOKUP(Union_Title,A251:B271,2)</f>
        <v>0</v>
      </c>
      <c r="F265" s="49"/>
      <c r="J265" s="49"/>
    </row>
    <row r="266" spans="1:10" s="53" customFormat="1" ht="15.75" hidden="1">
      <c r="A266" s="64" t="s">
        <v>107</v>
      </c>
      <c r="B266" s="49">
        <f>F245</f>
        <v>13.676</v>
      </c>
      <c r="C266" s="52"/>
      <c r="D266" s="49"/>
      <c r="J266" s="49"/>
    </row>
    <row r="267" spans="1:10" s="53" customFormat="1" ht="15.75" hidden="1">
      <c r="A267" s="64" t="s">
        <v>106</v>
      </c>
      <c r="B267" s="49">
        <f>C245</f>
        <v>13.676</v>
      </c>
      <c r="C267" s="52"/>
      <c r="D267" s="49"/>
      <c r="J267" s="49"/>
    </row>
    <row r="268" spans="1:10" s="53" customFormat="1" ht="15.75" hidden="1">
      <c r="A268" s="64" t="s">
        <v>109</v>
      </c>
      <c r="B268" s="49">
        <f>F246</f>
        <v>15.78</v>
      </c>
      <c r="C268" s="52"/>
      <c r="D268" s="49"/>
      <c r="J268" s="49"/>
    </row>
    <row r="269" spans="1:10" s="53" customFormat="1" ht="15.75" hidden="1">
      <c r="A269" s="64" t="s">
        <v>108</v>
      </c>
      <c r="B269" s="49">
        <f>C246</f>
        <v>15.78</v>
      </c>
      <c r="C269" s="52"/>
      <c r="D269" s="49"/>
      <c r="J269" s="49"/>
    </row>
    <row r="270" spans="1:10" s="53" customFormat="1" ht="15.75" hidden="1">
      <c r="A270" s="64" t="s">
        <v>111</v>
      </c>
      <c r="B270" s="49">
        <f>F247</f>
        <v>13.676</v>
      </c>
      <c r="C270" s="52"/>
      <c r="D270" s="49"/>
      <c r="J270" s="49"/>
    </row>
    <row r="271" spans="1:10" s="53" customFormat="1" ht="15.75" hidden="1">
      <c r="A271" s="64" t="s">
        <v>110</v>
      </c>
      <c r="B271" s="49">
        <f>C247</f>
        <v>13.676</v>
      </c>
      <c r="C271" s="52"/>
      <c r="D271" s="49"/>
      <c r="J271" s="49"/>
    </row>
    <row r="272" spans="3:10" s="53" customFormat="1" ht="15" hidden="1">
      <c r="C272" s="52"/>
      <c r="J272" s="49"/>
    </row>
    <row r="273" spans="3:10" s="53" customFormat="1" ht="15" hidden="1">
      <c r="C273" s="52"/>
      <c r="J273" s="49"/>
    </row>
    <row r="274" spans="3:10" s="53" customFormat="1" ht="15" hidden="1">
      <c r="C274" s="52"/>
      <c r="J274" s="49"/>
    </row>
    <row r="275" spans="3:10" s="53" customFormat="1" ht="15" hidden="1">
      <c r="C275" s="52"/>
      <c r="J275" s="49"/>
    </row>
    <row r="276" spans="3:10" s="53" customFormat="1" ht="15" hidden="1">
      <c r="C276" s="52"/>
      <c r="J276" s="49"/>
    </row>
    <row r="277" spans="1:10" s="53" customFormat="1" ht="15" hidden="1">
      <c r="A277" s="53" t="s">
        <v>149</v>
      </c>
      <c r="B277" s="84" t="s">
        <v>150</v>
      </c>
      <c r="C277" s="52"/>
      <c r="J277" s="49"/>
    </row>
    <row r="278" spans="1:10" s="53" customFormat="1" ht="15" hidden="1">
      <c r="A278" s="53" t="s">
        <v>128</v>
      </c>
      <c r="B278" s="84" t="s">
        <v>119</v>
      </c>
      <c r="C278" s="52"/>
      <c r="J278" s="49"/>
    </row>
    <row r="279" spans="1:10" s="53" customFormat="1" ht="15" hidden="1">
      <c r="A279" s="53" t="s">
        <v>150</v>
      </c>
      <c r="B279" s="84" t="s">
        <v>66</v>
      </c>
      <c r="C279" s="52"/>
      <c r="J279" s="49"/>
    </row>
    <row r="280" spans="2:16" s="53" customFormat="1" ht="15" hidden="1">
      <c r="B280" s="84"/>
      <c r="C280" s="52"/>
      <c r="H280" s="65"/>
      <c r="I280" s="65"/>
      <c r="J280" s="66"/>
      <c r="K280" s="65"/>
      <c r="L280" s="65"/>
      <c r="M280" s="65"/>
      <c r="N280" s="65"/>
      <c r="O280" s="65"/>
      <c r="P280" s="65"/>
    </row>
    <row r="281" spans="1:16" s="53" customFormat="1" ht="15" hidden="1">
      <c r="A281" s="53" t="s">
        <v>151</v>
      </c>
      <c r="B281" s="84" t="s">
        <v>150</v>
      </c>
      <c r="C281" s="52"/>
      <c r="F281" s="65"/>
      <c r="G281" s="65"/>
      <c r="H281" s="65"/>
      <c r="I281" s="66"/>
      <c r="J281" s="66"/>
      <c r="K281" s="66"/>
      <c r="L281" s="66"/>
      <c r="M281" s="66"/>
      <c r="N281" s="66"/>
      <c r="O281" s="66"/>
      <c r="P281" s="66"/>
    </row>
    <row r="282" spans="1:16" s="53" customFormat="1" ht="15" hidden="1">
      <c r="A282" s="53" t="s">
        <v>128</v>
      </c>
      <c r="B282" s="84" t="s">
        <v>119</v>
      </c>
      <c r="C282" s="52"/>
      <c r="F282" s="65" t="s">
        <v>121</v>
      </c>
      <c r="G282" s="65" t="s">
        <v>119</v>
      </c>
      <c r="H282" s="65"/>
      <c r="I282" s="66">
        <v>0</v>
      </c>
      <c r="J282" s="66">
        <v>87</v>
      </c>
      <c r="K282" s="66">
        <v>0</v>
      </c>
      <c r="L282" s="66">
        <v>0</v>
      </c>
      <c r="M282" s="66">
        <v>0</v>
      </c>
      <c r="N282" s="66">
        <v>0</v>
      </c>
      <c r="O282" s="66" t="e">
        <f>VLOOKUP(G288,M282:N289,2)</f>
        <v>#N/A</v>
      </c>
      <c r="P282" s="66" t="e">
        <f>IF(O282=0,0,IF(O282=0.1,8.7,IF(O282=0.15,30.85,IF(O282=0.25,184.35,IF(O282=0.28,292.11,IF(O282=0.33,662.11,IF(O282=0.35,981.81,IF(O282=0.4,1720.11))))))))</f>
        <v>#N/A</v>
      </c>
    </row>
    <row r="283" spans="1:16" s="53" customFormat="1" ht="15" hidden="1">
      <c r="A283" s="53" t="s">
        <v>150</v>
      </c>
      <c r="B283" s="84" t="s">
        <v>66</v>
      </c>
      <c r="C283" s="52"/>
      <c r="F283" s="65"/>
      <c r="G283" s="65"/>
      <c r="H283" s="65"/>
      <c r="I283" s="66">
        <v>87</v>
      </c>
      <c r="J283" s="66">
        <v>443</v>
      </c>
      <c r="K283" s="66">
        <v>8.7</v>
      </c>
      <c r="L283" s="66">
        <v>0.1</v>
      </c>
      <c r="M283" s="66">
        <v>87</v>
      </c>
      <c r="N283" s="66">
        <v>0.1</v>
      </c>
      <c r="O283" s="66"/>
      <c r="P283" s="66"/>
    </row>
    <row r="284" spans="1:16" s="53" customFormat="1" ht="15" hidden="1">
      <c r="A284" s="53" t="s">
        <v>152</v>
      </c>
      <c r="B284" s="84" t="s">
        <v>133</v>
      </c>
      <c r="C284" s="52"/>
      <c r="F284" s="65" t="s">
        <v>0</v>
      </c>
      <c r="G284" s="66">
        <f>IF(B185=998,0,IF(B185&lt;&gt;998,J183))</f>
        <v>0</v>
      </c>
      <c r="H284" s="65"/>
      <c r="I284" s="66">
        <v>443</v>
      </c>
      <c r="J284" s="66">
        <v>1535</v>
      </c>
      <c r="K284" s="66">
        <v>30.85</v>
      </c>
      <c r="L284" s="66">
        <v>0.15</v>
      </c>
      <c r="M284" s="66">
        <v>443</v>
      </c>
      <c r="N284" s="66">
        <v>0.15</v>
      </c>
      <c r="O284" s="66"/>
      <c r="P284" s="66"/>
    </row>
    <row r="285" spans="2:16" s="53" customFormat="1" ht="15" hidden="1">
      <c r="B285" s="84"/>
      <c r="C285" s="52"/>
      <c r="F285" s="65" t="s">
        <v>122</v>
      </c>
      <c r="G285" s="67" t="b">
        <f>IF(B185&lt;997,B185,IF(B185=998,0))</f>
        <v>0</v>
      </c>
      <c r="H285" s="65"/>
      <c r="I285" s="66">
        <v>1535</v>
      </c>
      <c r="J285" s="66">
        <v>3592</v>
      </c>
      <c r="K285" s="66">
        <v>184.35</v>
      </c>
      <c r="L285" s="66">
        <v>0.25</v>
      </c>
      <c r="M285" s="66">
        <v>1535</v>
      </c>
      <c r="N285" s="66">
        <v>0.25</v>
      </c>
      <c r="O285" s="66"/>
      <c r="P285" s="66"/>
    </row>
    <row r="286" spans="1:16" s="53" customFormat="1" ht="15" hidden="1">
      <c r="A286" s="49"/>
      <c r="B286" s="84"/>
      <c r="F286" s="65" t="s">
        <v>175</v>
      </c>
      <c r="G286" s="65">
        <v>155.8</v>
      </c>
      <c r="H286" s="65"/>
      <c r="I286" s="66">
        <v>3592</v>
      </c>
      <c r="J286" s="66">
        <v>7400</v>
      </c>
      <c r="K286" s="66">
        <v>292.11</v>
      </c>
      <c r="L286" s="66">
        <v>0.28</v>
      </c>
      <c r="M286" s="66">
        <v>3592</v>
      </c>
      <c r="N286" s="66">
        <v>0.28</v>
      </c>
      <c r="O286" s="66"/>
      <c r="P286" s="66"/>
    </row>
    <row r="287" spans="1:16" s="53" customFormat="1" ht="15" hidden="1">
      <c r="A287" s="49" t="s">
        <v>155</v>
      </c>
      <c r="B287" s="84"/>
      <c r="F287" s="68" t="s">
        <v>174</v>
      </c>
      <c r="G287" s="69">
        <f>G285*G286</f>
        <v>0</v>
      </c>
      <c r="H287" s="65"/>
      <c r="I287" s="66">
        <v>7400</v>
      </c>
      <c r="J287" s="66">
        <v>15985</v>
      </c>
      <c r="K287" s="66">
        <v>662.11</v>
      </c>
      <c r="L287" s="66">
        <v>0.33</v>
      </c>
      <c r="M287" s="66">
        <v>7400</v>
      </c>
      <c r="N287" s="66">
        <v>0.33</v>
      </c>
      <c r="O287" s="66"/>
      <c r="P287" s="66"/>
    </row>
    <row r="288" spans="1:16" s="53" customFormat="1" ht="15" hidden="1">
      <c r="A288" s="49" t="s">
        <v>4</v>
      </c>
      <c r="B288" s="85" t="s">
        <v>156</v>
      </c>
      <c r="F288" s="70" t="s">
        <v>176</v>
      </c>
      <c r="G288" s="66" t="b">
        <f>IF(G287&gt;G284,0,IF(G287&lt;G284,G284-G287))</f>
        <v>0</v>
      </c>
      <c r="H288" s="65"/>
      <c r="I288" s="66">
        <v>15985</v>
      </c>
      <c r="J288" s="66">
        <v>16050</v>
      </c>
      <c r="K288" s="66">
        <v>981.81</v>
      </c>
      <c r="L288" s="66">
        <v>0.35</v>
      </c>
      <c r="M288" s="66">
        <v>15985</v>
      </c>
      <c r="N288" s="66">
        <v>0.35</v>
      </c>
      <c r="O288" s="66"/>
      <c r="P288" s="66"/>
    </row>
    <row r="289" spans="1:16" s="53" customFormat="1" ht="15" hidden="1">
      <c r="A289" s="49" t="s">
        <v>6</v>
      </c>
      <c r="B289" s="85" t="s">
        <v>156</v>
      </c>
      <c r="F289" s="70"/>
      <c r="G289" s="65"/>
      <c r="H289" s="65"/>
      <c r="I289" s="66">
        <v>16050</v>
      </c>
      <c r="J289" s="66" t="s">
        <v>120</v>
      </c>
      <c r="K289" s="66">
        <v>1720.11</v>
      </c>
      <c r="L289" s="66">
        <v>0.396</v>
      </c>
      <c r="M289" s="66">
        <v>16050</v>
      </c>
      <c r="N289" s="66">
        <v>0.396</v>
      </c>
      <c r="O289" s="66"/>
      <c r="P289" s="66"/>
    </row>
    <row r="290" spans="1:16" s="53" customFormat="1" ht="15" hidden="1">
      <c r="A290" s="49" t="s">
        <v>146</v>
      </c>
      <c r="B290" s="85" t="s">
        <v>156</v>
      </c>
      <c r="F290" s="65"/>
      <c r="G290" s="66" t="e">
        <f>VLOOKUP(O282,L282:M289,2)</f>
        <v>#N/A</v>
      </c>
      <c r="H290" s="65"/>
      <c r="I290" s="66"/>
      <c r="J290" s="66"/>
      <c r="K290" s="66"/>
      <c r="L290" s="66"/>
      <c r="M290" s="66"/>
      <c r="N290" s="66"/>
      <c r="O290" s="66"/>
      <c r="P290" s="66"/>
    </row>
    <row r="291" spans="1:16" s="53" customFormat="1" ht="15" hidden="1">
      <c r="A291" s="49"/>
      <c r="B291" s="84"/>
      <c r="F291" s="65"/>
      <c r="G291" s="65"/>
      <c r="H291" s="65"/>
      <c r="I291" s="66"/>
      <c r="J291" s="66"/>
      <c r="K291" s="66"/>
      <c r="L291" s="66"/>
      <c r="M291" s="66"/>
      <c r="N291" s="66"/>
      <c r="O291" s="66"/>
      <c r="P291" s="66"/>
    </row>
    <row r="292" spans="1:16" s="53" customFormat="1" ht="15" hidden="1">
      <c r="A292" s="49"/>
      <c r="F292" s="65"/>
      <c r="G292" s="65"/>
      <c r="H292" s="66"/>
      <c r="I292" s="66">
        <v>0</v>
      </c>
      <c r="J292" s="66">
        <v>329</v>
      </c>
      <c r="K292" s="66">
        <v>0</v>
      </c>
      <c r="L292" s="66">
        <v>0</v>
      </c>
      <c r="M292" s="66">
        <v>0</v>
      </c>
      <c r="N292" s="66">
        <v>0</v>
      </c>
      <c r="O292" s="66" t="e">
        <f>VLOOKUP(G288,M292:N299,2)</f>
        <v>#N/A</v>
      </c>
      <c r="P292" s="66" t="e">
        <f>IF(O292=0,0,IF(O292=0.1,32.9,IF(O292=0.15,85,IF(O292=0.25,407.5,IF(O292=0.28,592.63,IF(O292=0.33,1054.18,IF(O292=0.35,1378.72,IF(O292=0.4,2219.97))))))))</f>
        <v>#N/A</v>
      </c>
    </row>
    <row r="293" spans="1:16" s="53" customFormat="1" ht="15" hidden="1">
      <c r="A293" s="49"/>
      <c r="B293" s="49"/>
      <c r="C293" s="49"/>
      <c r="D293" s="49"/>
      <c r="F293" s="66" t="s">
        <v>125</v>
      </c>
      <c r="G293" s="66" t="s">
        <v>66</v>
      </c>
      <c r="H293" s="66"/>
      <c r="I293" s="66">
        <v>329</v>
      </c>
      <c r="J293" s="66">
        <v>1042</v>
      </c>
      <c r="K293" s="66">
        <v>32.9</v>
      </c>
      <c r="L293" s="66">
        <v>0.1</v>
      </c>
      <c r="M293" s="66">
        <v>329</v>
      </c>
      <c r="N293" s="66">
        <v>0.1</v>
      </c>
      <c r="O293" s="66"/>
      <c r="P293" s="66"/>
    </row>
    <row r="294" spans="1:16" s="53" customFormat="1" ht="15" hidden="1">
      <c r="A294" s="49"/>
      <c r="B294" s="49"/>
      <c r="C294" s="49"/>
      <c r="D294" s="49"/>
      <c r="F294" s="66"/>
      <c r="G294" s="71"/>
      <c r="H294" s="65"/>
      <c r="I294" s="66">
        <v>1042</v>
      </c>
      <c r="J294" s="66">
        <v>3225</v>
      </c>
      <c r="K294" s="66">
        <v>85</v>
      </c>
      <c r="L294" s="66">
        <v>0.15</v>
      </c>
      <c r="M294" s="66">
        <v>1042</v>
      </c>
      <c r="N294" s="66">
        <v>0.15</v>
      </c>
      <c r="O294" s="66"/>
      <c r="P294" s="66"/>
    </row>
    <row r="295" spans="1:16" s="53" customFormat="1" ht="15" hidden="1">
      <c r="A295" s="45" t="s">
        <v>16</v>
      </c>
      <c r="B295" s="89">
        <v>123</v>
      </c>
      <c r="C295" s="49"/>
      <c r="D295" s="49"/>
      <c r="F295" s="70"/>
      <c r="G295" s="72"/>
      <c r="H295" s="65"/>
      <c r="I295" s="66">
        <v>3225</v>
      </c>
      <c r="J295" s="66">
        <v>6171</v>
      </c>
      <c r="K295" s="66">
        <v>407.5</v>
      </c>
      <c r="L295" s="66">
        <v>0.25</v>
      </c>
      <c r="M295" s="66">
        <v>3225</v>
      </c>
      <c r="N295" s="66">
        <v>0.25</v>
      </c>
      <c r="O295" s="66"/>
      <c r="P295" s="66"/>
    </row>
    <row r="296" spans="1:16" s="53" customFormat="1" ht="15" hidden="1">
      <c r="A296" s="45" t="s">
        <v>14</v>
      </c>
      <c r="B296" s="89">
        <v>100</v>
      </c>
      <c r="C296" s="49"/>
      <c r="D296" s="49"/>
      <c r="F296" s="70"/>
      <c r="G296" s="70"/>
      <c r="H296" s="65"/>
      <c r="I296" s="66">
        <v>6171</v>
      </c>
      <c r="J296" s="66">
        <v>9231</v>
      </c>
      <c r="K296" s="66">
        <v>592.63</v>
      </c>
      <c r="L296" s="66">
        <v>0.28</v>
      </c>
      <c r="M296" s="66">
        <v>6171</v>
      </c>
      <c r="N296" s="66">
        <v>0.28</v>
      </c>
      <c r="O296" s="66"/>
      <c r="P296" s="66"/>
    </row>
    <row r="297" spans="1:16" s="53" customFormat="1" ht="15" hidden="1">
      <c r="A297" s="45" t="s">
        <v>12</v>
      </c>
      <c r="B297" s="89"/>
      <c r="C297" s="49"/>
      <c r="D297" s="49"/>
      <c r="F297" s="70"/>
      <c r="G297" s="71" t="e">
        <f>VLOOKUP(O292,L292:M299,2)</f>
        <v>#N/A</v>
      </c>
      <c r="H297" s="65"/>
      <c r="I297" s="66">
        <v>9231</v>
      </c>
      <c r="J297" s="66">
        <v>16227</v>
      </c>
      <c r="K297" s="66">
        <v>1054.18</v>
      </c>
      <c r="L297" s="66">
        <v>0.33</v>
      </c>
      <c r="M297" s="66">
        <v>9231</v>
      </c>
      <c r="N297" s="66">
        <v>0.33</v>
      </c>
      <c r="O297" s="66"/>
      <c r="P297" s="66"/>
    </row>
    <row r="298" spans="1:16" s="53" customFormat="1" ht="15" hidden="1">
      <c r="A298" s="45" t="s">
        <v>33</v>
      </c>
      <c r="B298" s="89"/>
      <c r="C298" s="49"/>
      <c r="D298" s="49"/>
      <c r="F298" s="70"/>
      <c r="G298" s="71"/>
      <c r="H298" s="65"/>
      <c r="I298" s="66">
        <v>16227</v>
      </c>
      <c r="J298" s="66">
        <v>18288</v>
      </c>
      <c r="K298" s="66">
        <v>1378.72</v>
      </c>
      <c r="L298" s="66">
        <v>0.35</v>
      </c>
      <c r="M298" s="66">
        <v>16227</v>
      </c>
      <c r="N298" s="66">
        <v>0.35</v>
      </c>
      <c r="O298" s="66"/>
      <c r="P298" s="66"/>
    </row>
    <row r="299" spans="1:16" s="53" customFormat="1" ht="15" hidden="1">
      <c r="A299" s="45" t="s">
        <v>34</v>
      </c>
      <c r="B299" s="89"/>
      <c r="C299" s="49"/>
      <c r="D299" s="49"/>
      <c r="F299" s="70"/>
      <c r="G299" s="70"/>
      <c r="H299" s="65"/>
      <c r="I299" s="66">
        <v>18288</v>
      </c>
      <c r="J299" s="66" t="s">
        <v>120</v>
      </c>
      <c r="K299" s="66">
        <v>2219.97</v>
      </c>
      <c r="L299" s="66">
        <v>0.396</v>
      </c>
      <c r="M299" s="66">
        <v>18288</v>
      </c>
      <c r="N299" s="66">
        <v>0.0396</v>
      </c>
      <c r="O299" s="66"/>
      <c r="P299" s="66"/>
    </row>
    <row r="300" spans="1:16" s="53" customFormat="1" ht="15" hidden="1">
      <c r="A300" s="45" t="s">
        <v>35</v>
      </c>
      <c r="B300" s="89"/>
      <c r="C300" s="52"/>
      <c r="F300" s="70"/>
      <c r="G300" s="66" t="b">
        <f>IF(B184="S",G290,IF(B184="M",G297))</f>
        <v>0</v>
      </c>
      <c r="H300" s="66"/>
      <c r="I300" s="65"/>
      <c r="J300" s="66"/>
      <c r="K300" s="66"/>
      <c r="L300" s="66"/>
      <c r="M300" s="66"/>
      <c r="N300" s="66"/>
      <c r="O300" s="66"/>
      <c r="P300" s="66"/>
    </row>
    <row r="301" spans="1:16" s="53" customFormat="1" ht="15" hidden="1">
      <c r="A301" s="45" t="s">
        <v>36</v>
      </c>
      <c r="B301" s="89"/>
      <c r="C301" s="52"/>
      <c r="F301" s="66" t="b">
        <f>G288</f>
        <v>0</v>
      </c>
      <c r="G301" s="66">
        <f>F301-G300</f>
        <v>0</v>
      </c>
      <c r="H301" s="66"/>
      <c r="I301" s="66"/>
      <c r="J301" s="66"/>
      <c r="K301" s="66"/>
      <c r="L301" s="66"/>
      <c r="M301" s="66"/>
      <c r="N301" s="66"/>
      <c r="O301" s="66"/>
      <c r="P301" s="66"/>
    </row>
    <row r="302" spans="1:16" s="53" customFormat="1" ht="15" hidden="1">
      <c r="A302" s="45" t="s">
        <v>8</v>
      </c>
      <c r="B302" s="89"/>
      <c r="C302" s="52"/>
      <c r="F302" s="66"/>
      <c r="G302" s="66" t="b">
        <f>IF(B184="S",O282,IF(B184="M",O292))</f>
        <v>0</v>
      </c>
      <c r="H302" s="66"/>
      <c r="I302" s="66"/>
      <c r="J302" s="66"/>
      <c r="K302" s="65"/>
      <c r="L302" s="65"/>
      <c r="M302" s="65"/>
      <c r="N302" s="65"/>
      <c r="O302" s="65"/>
      <c r="P302" s="65"/>
    </row>
    <row r="303" spans="1:16" s="53" customFormat="1" ht="15" hidden="1">
      <c r="A303" s="45" t="s">
        <v>5</v>
      </c>
      <c r="B303" s="89">
        <v>68</v>
      </c>
      <c r="C303" s="52"/>
      <c r="F303" s="66"/>
      <c r="G303" s="66">
        <f>F301*G302</f>
        <v>0</v>
      </c>
      <c r="H303" s="66"/>
      <c r="J303" s="66"/>
      <c r="K303" s="65"/>
      <c r="L303" s="65"/>
      <c r="M303" s="65"/>
      <c r="N303" s="65"/>
      <c r="O303" s="65"/>
      <c r="P303" s="65"/>
    </row>
    <row r="304" spans="1:16" s="53" customFormat="1" ht="15" hidden="1">
      <c r="A304" s="45" t="s">
        <v>148</v>
      </c>
      <c r="B304" s="89"/>
      <c r="C304" s="52"/>
      <c r="F304" s="66"/>
      <c r="G304" s="66" t="b">
        <f>IF(B184="S",P282,IF(B184="M",P292))</f>
        <v>0</v>
      </c>
      <c r="H304" s="66"/>
      <c r="I304" s="66"/>
      <c r="J304" s="66"/>
      <c r="K304" s="65"/>
      <c r="L304" s="65"/>
      <c r="M304" s="65"/>
      <c r="N304" s="65"/>
      <c r="O304" s="65"/>
      <c r="P304" s="65"/>
    </row>
    <row r="305" spans="3:16" s="53" customFormat="1" ht="15.75" hidden="1" thickBot="1">
      <c r="C305" s="52"/>
      <c r="D305" s="53">
        <f>G300*G301</f>
        <v>0</v>
      </c>
      <c r="F305" s="66"/>
      <c r="G305" s="73">
        <f>IF(B185=998,0,IF(B185&lt;&gt;998,G303-G304))</f>
        <v>0</v>
      </c>
      <c r="H305" s="65"/>
      <c r="I305" s="66"/>
      <c r="J305" s="66"/>
      <c r="K305" s="65"/>
      <c r="L305" s="65"/>
      <c r="M305" s="65"/>
      <c r="N305" s="65"/>
      <c r="O305" s="65"/>
      <c r="P305" s="65"/>
    </row>
    <row r="306" spans="3:16" s="53" customFormat="1" ht="15.75" hidden="1" thickTop="1">
      <c r="C306" s="52"/>
      <c r="F306" s="66"/>
      <c r="G306" s="74"/>
      <c r="H306" s="49"/>
      <c r="I306" s="66"/>
      <c r="J306" s="66"/>
      <c r="K306" s="65"/>
      <c r="L306" s="65"/>
      <c r="M306" s="65"/>
      <c r="N306" s="65"/>
      <c r="O306" s="65"/>
      <c r="P306" s="65"/>
    </row>
    <row r="307" spans="3:16" s="53" customFormat="1" ht="15" hidden="1">
      <c r="C307" s="52"/>
      <c r="F307" s="66"/>
      <c r="G307" s="74"/>
      <c r="H307" s="49"/>
      <c r="I307" s="66"/>
      <c r="J307" s="66"/>
      <c r="K307" s="65"/>
      <c r="L307" s="65"/>
      <c r="M307" s="65"/>
      <c r="N307" s="65"/>
      <c r="O307" s="65"/>
      <c r="P307" s="65"/>
    </row>
    <row r="308" spans="3:10" s="53" customFormat="1" ht="15" hidden="1">
      <c r="C308" s="52"/>
      <c r="F308" s="66"/>
      <c r="G308" s="74"/>
      <c r="H308" s="49"/>
      <c r="J308" s="49"/>
    </row>
    <row r="309" spans="3:10" s="53" customFormat="1" ht="15" hidden="1">
      <c r="C309" s="52"/>
      <c r="F309" s="66"/>
      <c r="G309" s="74"/>
      <c r="H309" s="49"/>
      <c r="J309" s="49"/>
    </row>
    <row r="310" spans="3:10" s="53" customFormat="1" ht="15" hidden="1">
      <c r="C310" s="52"/>
      <c r="F310" s="74"/>
      <c r="G310" s="49"/>
      <c r="H310" s="49"/>
      <c r="I310" s="49"/>
      <c r="J310" s="49"/>
    </row>
    <row r="311" spans="3:10" s="53" customFormat="1" ht="15" hidden="1">
      <c r="C311" s="52"/>
      <c r="F311" s="49"/>
      <c r="G311" s="75"/>
      <c r="H311" s="75"/>
      <c r="I311" s="49"/>
      <c r="J311" s="49"/>
    </row>
    <row r="312" spans="3:16" s="53" customFormat="1" ht="15" hidden="1">
      <c r="C312" s="52"/>
      <c r="F312" s="75"/>
      <c r="G312" s="75">
        <f>J185</f>
        <v>841.94</v>
      </c>
      <c r="H312" s="76"/>
      <c r="I312" s="131" t="s">
        <v>89</v>
      </c>
      <c r="J312" s="131"/>
      <c r="K312" s="76"/>
      <c r="L312" s="76"/>
      <c r="M312" s="130" t="s">
        <v>91</v>
      </c>
      <c r="N312" s="130"/>
      <c r="O312" s="76"/>
      <c r="P312" s="76"/>
    </row>
    <row r="313" spans="3:16" s="53" customFormat="1" ht="15" hidden="1">
      <c r="C313" s="52"/>
      <c r="F313" s="76" t="s">
        <v>83</v>
      </c>
      <c r="G313" s="79">
        <f>VLOOKUP(B191,I320:J331,2)</f>
        <v>0</v>
      </c>
      <c r="H313" s="76"/>
      <c r="I313" s="76" t="s">
        <v>128</v>
      </c>
      <c r="J313" s="75">
        <v>516</v>
      </c>
      <c r="K313" s="76"/>
      <c r="L313" s="76"/>
      <c r="M313" s="77">
        <v>0</v>
      </c>
      <c r="N313" s="78">
        <v>0</v>
      </c>
      <c r="O313" s="76"/>
      <c r="P313" s="76"/>
    </row>
    <row r="314" spans="3:16" s="53" customFormat="1" ht="15" hidden="1">
      <c r="C314" s="52"/>
      <c r="F314" s="76" t="s">
        <v>134</v>
      </c>
      <c r="G314" s="75">
        <f>G312-G313</f>
        <v>841.94</v>
      </c>
      <c r="H314" s="76"/>
      <c r="I314" s="76" t="s">
        <v>129</v>
      </c>
      <c r="J314" s="75">
        <v>516</v>
      </c>
      <c r="K314" s="76"/>
      <c r="L314" s="76"/>
      <c r="M314" s="76" t="s">
        <v>128</v>
      </c>
      <c r="N314" s="75">
        <v>156</v>
      </c>
      <c r="O314" s="76"/>
      <c r="P314" s="76"/>
    </row>
    <row r="315" spans="3:16" s="53" customFormat="1" ht="15" hidden="1">
      <c r="C315" s="52"/>
      <c r="F315" s="76" t="s">
        <v>135</v>
      </c>
      <c r="G315" s="75" t="b">
        <f>IF(B190=998,0,IF(AND(B189="M",B190&gt;=2),N316,IF(AND(B189="M",B190&lt;=1),N315,IF(B189="S",N314,IF(B189="H",N317)))))</f>
        <v>0</v>
      </c>
      <c r="H315" s="76"/>
      <c r="I315" s="76" t="s">
        <v>130</v>
      </c>
      <c r="J315" s="75">
        <v>1032</v>
      </c>
      <c r="K315" s="76"/>
      <c r="L315" s="76"/>
      <c r="M315" s="76" t="s">
        <v>129</v>
      </c>
      <c r="N315" s="75">
        <v>156</v>
      </c>
      <c r="O315" s="76"/>
      <c r="P315" s="76"/>
    </row>
    <row r="316" spans="3:16" s="53" customFormat="1" ht="15" hidden="1">
      <c r="C316" s="52"/>
      <c r="F316" s="76" t="s">
        <v>91</v>
      </c>
      <c r="G316" s="75">
        <f>IF(B190=998,0,IF(B190&lt;&gt;998,G314-G315))</f>
        <v>841.94</v>
      </c>
      <c r="H316" s="76"/>
      <c r="I316" s="76" t="s">
        <v>131</v>
      </c>
      <c r="J316" s="75">
        <v>1032</v>
      </c>
      <c r="K316" s="76"/>
      <c r="L316" s="76"/>
      <c r="M316" s="76" t="s">
        <v>130</v>
      </c>
      <c r="N316" s="75">
        <v>311</v>
      </c>
      <c r="O316" s="76"/>
      <c r="P316" s="76"/>
    </row>
    <row r="317" spans="3:16" s="53" customFormat="1" ht="15" hidden="1">
      <c r="C317" s="52"/>
      <c r="F317" s="76" t="s">
        <v>136</v>
      </c>
      <c r="G317" s="75" t="b">
        <f>IF(B189="S",N335,IF(B189="M",N344,IF(B189="H",N353)))</f>
        <v>0</v>
      </c>
      <c r="H317" s="76"/>
      <c r="I317" s="76"/>
      <c r="J317" s="75"/>
      <c r="K317" s="76"/>
      <c r="L317" s="76"/>
      <c r="M317" s="76" t="s">
        <v>131</v>
      </c>
      <c r="N317" s="75">
        <v>311</v>
      </c>
      <c r="O317" s="76"/>
      <c r="P317" s="76"/>
    </row>
    <row r="318" spans="3:16" s="53" customFormat="1" ht="15" hidden="1">
      <c r="C318" s="52"/>
      <c r="F318" s="76" t="s">
        <v>137</v>
      </c>
      <c r="G318" s="75">
        <f>G316-G317</f>
        <v>841.94</v>
      </c>
      <c r="H318" s="76"/>
      <c r="I318" s="76"/>
      <c r="J318" s="75"/>
      <c r="K318" s="76"/>
      <c r="L318" s="76"/>
      <c r="M318" s="76"/>
      <c r="N318" s="76"/>
      <c r="O318" s="76"/>
      <c r="P318" s="76"/>
    </row>
    <row r="319" spans="3:16" s="53" customFormat="1" ht="15" hidden="1">
      <c r="C319" s="52"/>
      <c r="F319" s="76" t="s">
        <v>138</v>
      </c>
      <c r="G319" s="80" t="b">
        <f>IF(B189="S",O335,IF(B189="M",O344,IF(B189="H",O353)))</f>
        <v>0</v>
      </c>
      <c r="H319" s="76"/>
      <c r="I319" s="130" t="s">
        <v>90</v>
      </c>
      <c r="J319" s="130"/>
      <c r="K319" s="76"/>
      <c r="L319" s="76"/>
      <c r="M319" s="76"/>
      <c r="N319" s="76"/>
      <c r="O319" s="76"/>
      <c r="P319" s="76"/>
    </row>
    <row r="320" spans="3:16" s="53" customFormat="1" ht="15" hidden="1">
      <c r="C320" s="52"/>
      <c r="F320" s="76" t="s">
        <v>139</v>
      </c>
      <c r="G320" s="75">
        <f>ROUND(G318*G319,2)</f>
        <v>0</v>
      </c>
      <c r="H320" s="76"/>
      <c r="I320" s="77">
        <v>0</v>
      </c>
      <c r="J320" s="78">
        <v>0</v>
      </c>
      <c r="K320" s="75"/>
      <c r="L320" s="75"/>
      <c r="M320" s="130" t="s">
        <v>92</v>
      </c>
      <c r="N320" s="130"/>
      <c r="O320" s="76"/>
      <c r="P320" s="76"/>
    </row>
    <row r="321" spans="3:16" s="53" customFormat="1" ht="15" hidden="1">
      <c r="C321" s="52"/>
      <c r="F321" s="76" t="s">
        <v>140</v>
      </c>
      <c r="G321" s="75" t="b">
        <f>IF(B189="S",P335,IF(B189="M",P344,IF(B189="H",P353)))</f>
        <v>0</v>
      </c>
      <c r="H321" s="76"/>
      <c r="I321" s="81">
        <v>1</v>
      </c>
      <c r="J321" s="75">
        <v>38</v>
      </c>
      <c r="K321" s="76"/>
      <c r="L321" s="76"/>
      <c r="M321" s="78">
        <v>0</v>
      </c>
      <c r="N321" s="78">
        <v>0</v>
      </c>
      <c r="O321" s="76"/>
      <c r="P321" s="76"/>
    </row>
    <row r="322" spans="3:16" s="53" customFormat="1" ht="15" hidden="1">
      <c r="C322" s="52"/>
      <c r="F322" s="76" t="s">
        <v>141</v>
      </c>
      <c r="G322" s="75">
        <f>G320+G321</f>
        <v>0</v>
      </c>
      <c r="H322" s="76"/>
      <c r="I322" s="81">
        <v>2</v>
      </c>
      <c r="J322" s="75">
        <v>77</v>
      </c>
      <c r="K322" s="76"/>
      <c r="L322" s="76"/>
      <c r="M322" s="76">
        <v>1</v>
      </c>
      <c r="N322" s="75">
        <v>4.61</v>
      </c>
      <c r="O322" s="76"/>
      <c r="P322" s="76"/>
    </row>
    <row r="323" spans="3:16" s="53" customFormat="1" ht="15" hidden="1">
      <c r="C323" s="52"/>
      <c r="F323" s="76" t="s">
        <v>142</v>
      </c>
      <c r="G323" s="75">
        <f>VLOOKUP(B190,M321:N332,2)</f>
        <v>0</v>
      </c>
      <c r="H323" s="76"/>
      <c r="I323" s="81">
        <v>3</v>
      </c>
      <c r="J323" s="75">
        <v>115</v>
      </c>
      <c r="K323" s="76"/>
      <c r="L323" s="76"/>
      <c r="M323" s="76">
        <v>2</v>
      </c>
      <c r="N323" s="75">
        <v>9.22</v>
      </c>
      <c r="O323" s="76"/>
      <c r="P323" s="76"/>
    </row>
    <row r="324" spans="3:16" s="53" customFormat="1" ht="15.75" hidden="1" thickBot="1">
      <c r="C324" s="52"/>
      <c r="F324" s="76" t="s">
        <v>122</v>
      </c>
      <c r="G324" s="83">
        <f>IF(B190=998,0,IF(B190&lt;&gt;998,G322-G323))</f>
        <v>0</v>
      </c>
      <c r="H324" s="76"/>
      <c r="I324" s="81">
        <v>4</v>
      </c>
      <c r="J324" s="75">
        <v>154</v>
      </c>
      <c r="K324" s="76"/>
      <c r="L324" s="76"/>
      <c r="M324" s="76">
        <v>3</v>
      </c>
      <c r="N324" s="75">
        <v>13.83</v>
      </c>
      <c r="O324" s="76"/>
      <c r="P324" s="76"/>
    </row>
    <row r="325" spans="3:16" s="53" customFormat="1" ht="16.5" hidden="1" thickBot="1" thickTop="1">
      <c r="C325" s="52"/>
      <c r="F325" s="82" t="s">
        <v>143</v>
      </c>
      <c r="G325" s="76"/>
      <c r="H325" s="76"/>
      <c r="I325" s="81">
        <v>5</v>
      </c>
      <c r="J325" s="75">
        <v>192</v>
      </c>
      <c r="K325" s="76"/>
      <c r="L325" s="76"/>
      <c r="M325" s="76">
        <v>4</v>
      </c>
      <c r="N325" s="75">
        <v>18.45</v>
      </c>
      <c r="O325" s="76"/>
      <c r="P325" s="76"/>
    </row>
    <row r="326" spans="3:16" s="53" customFormat="1" ht="15.75" hidden="1" thickTop="1">
      <c r="C326" s="52"/>
      <c r="F326" s="76"/>
      <c r="G326" s="76"/>
      <c r="H326" s="76"/>
      <c r="I326" s="81">
        <v>6</v>
      </c>
      <c r="J326" s="75">
        <v>231</v>
      </c>
      <c r="K326" s="76"/>
      <c r="L326" s="76"/>
      <c r="M326" s="76">
        <v>5</v>
      </c>
      <c r="N326" s="75">
        <v>23.06</v>
      </c>
      <c r="O326" s="76"/>
      <c r="P326" s="76"/>
    </row>
    <row r="327" spans="3:16" s="53" customFormat="1" ht="15" hidden="1">
      <c r="C327" s="52"/>
      <c r="F327" s="76"/>
      <c r="G327" s="76"/>
      <c r="H327" s="76"/>
      <c r="I327" s="81">
        <v>7</v>
      </c>
      <c r="J327" s="75">
        <v>269</v>
      </c>
      <c r="K327" s="76"/>
      <c r="L327" s="76"/>
      <c r="M327" s="76">
        <v>6</v>
      </c>
      <c r="N327" s="75">
        <v>27.67</v>
      </c>
      <c r="O327" s="76"/>
      <c r="P327" s="76"/>
    </row>
    <row r="328" spans="3:16" s="53" customFormat="1" ht="15" hidden="1">
      <c r="C328" s="52"/>
      <c r="F328" s="76"/>
      <c r="G328" s="76"/>
      <c r="H328" s="76"/>
      <c r="I328" s="81">
        <v>8</v>
      </c>
      <c r="J328" s="75">
        <v>308</v>
      </c>
      <c r="K328" s="76"/>
      <c r="L328" s="76"/>
      <c r="M328" s="76">
        <v>7</v>
      </c>
      <c r="N328" s="75">
        <v>32.28</v>
      </c>
      <c r="O328" s="76"/>
      <c r="P328" s="76"/>
    </row>
    <row r="329" spans="3:16" s="53" customFormat="1" ht="15" hidden="1">
      <c r="C329" s="52"/>
      <c r="F329" s="76"/>
      <c r="G329" s="76"/>
      <c r="H329" s="76"/>
      <c r="I329" s="81">
        <v>9</v>
      </c>
      <c r="J329" s="75">
        <v>346</v>
      </c>
      <c r="K329" s="76"/>
      <c r="L329" s="76"/>
      <c r="M329" s="76">
        <v>8</v>
      </c>
      <c r="N329" s="75">
        <v>36.89</v>
      </c>
      <c r="O329" s="76"/>
      <c r="P329" s="76"/>
    </row>
    <row r="330" spans="3:16" s="53" customFormat="1" ht="15" hidden="1">
      <c r="C330" s="52"/>
      <c r="F330" s="76"/>
      <c r="G330" s="76"/>
      <c r="H330" s="76"/>
      <c r="I330" s="81">
        <v>10</v>
      </c>
      <c r="J330" s="75">
        <v>385</v>
      </c>
      <c r="K330" s="76"/>
      <c r="L330" s="76"/>
      <c r="M330" s="76">
        <v>9</v>
      </c>
      <c r="N330" s="75">
        <v>41.5</v>
      </c>
      <c r="O330" s="76"/>
      <c r="P330" s="76"/>
    </row>
    <row r="331" spans="3:16" s="53" customFormat="1" ht="15" hidden="1">
      <c r="C331" s="52"/>
      <c r="F331" s="76"/>
      <c r="G331" s="76"/>
      <c r="H331" s="76"/>
      <c r="I331" s="81" t="s">
        <v>132</v>
      </c>
      <c r="J331" s="75"/>
      <c r="K331" s="76"/>
      <c r="L331" s="76"/>
      <c r="M331" s="76">
        <v>10</v>
      </c>
      <c r="N331" s="75">
        <v>46.12</v>
      </c>
      <c r="O331" s="76"/>
      <c r="P331" s="76"/>
    </row>
    <row r="332" spans="3:16" s="53" customFormat="1" ht="15" hidden="1">
      <c r="C332" s="52"/>
      <c r="F332" s="76"/>
      <c r="G332" s="76"/>
      <c r="H332" s="76"/>
      <c r="I332" s="76"/>
      <c r="J332" s="75"/>
      <c r="K332" s="76"/>
      <c r="L332" s="76"/>
      <c r="M332" s="76">
        <v>11</v>
      </c>
      <c r="N332" s="75"/>
      <c r="O332" s="76"/>
      <c r="P332" s="76"/>
    </row>
    <row r="333" spans="3:16" s="53" customFormat="1" ht="15" hidden="1">
      <c r="C333" s="52"/>
      <c r="F333" s="76"/>
      <c r="G333" s="76"/>
      <c r="H333" s="76" t="s">
        <v>119</v>
      </c>
      <c r="I333" s="76"/>
      <c r="J333" s="75"/>
      <c r="K333" s="76"/>
      <c r="L333" s="76"/>
      <c r="M333" s="76"/>
      <c r="N333" s="76"/>
      <c r="O333" s="76"/>
      <c r="P333" s="76"/>
    </row>
    <row r="334" spans="3:16" s="53" customFormat="1" ht="15" hidden="1">
      <c r="C334" s="52"/>
      <c r="F334" s="76"/>
      <c r="G334" s="76"/>
      <c r="H334" s="76"/>
      <c r="I334" s="130" t="s">
        <v>93</v>
      </c>
      <c r="J334" s="130"/>
      <c r="K334" s="76"/>
      <c r="L334" s="76"/>
      <c r="M334" s="76"/>
      <c r="N334" s="76"/>
      <c r="O334" s="76"/>
      <c r="P334" s="76"/>
    </row>
    <row r="335" spans="3:16" s="53" customFormat="1" ht="15" hidden="1">
      <c r="C335" s="52"/>
      <c r="F335" s="76"/>
      <c r="G335" s="76"/>
      <c r="H335" s="76"/>
      <c r="I335" s="76">
        <v>0</v>
      </c>
      <c r="J335" s="75">
        <v>302</v>
      </c>
      <c r="K335" s="75">
        <v>0</v>
      </c>
      <c r="L335" s="80">
        <v>0.011</v>
      </c>
      <c r="M335" s="76">
        <v>0</v>
      </c>
      <c r="N335" s="76" t="b">
        <f>IF(B189="S",VLOOKUP(G316,I335:J341,1))</f>
        <v>0</v>
      </c>
      <c r="O335" s="80" t="e">
        <f>VLOOKUP(N335,I335:M341,4)</f>
        <v>#N/A</v>
      </c>
      <c r="P335" s="75" t="e">
        <f>VLOOKUP(N335,I335:K341,3)</f>
        <v>#N/A</v>
      </c>
    </row>
    <row r="336" spans="3:16" s="53" customFormat="1" ht="15" hidden="1">
      <c r="C336" s="52"/>
      <c r="F336" s="76"/>
      <c r="G336" s="76"/>
      <c r="H336" s="76"/>
      <c r="I336" s="76">
        <v>302</v>
      </c>
      <c r="J336" s="75">
        <v>716</v>
      </c>
      <c r="K336" s="75">
        <v>3.32</v>
      </c>
      <c r="L336" s="80">
        <v>0.022</v>
      </c>
      <c r="M336" s="76">
        <v>302</v>
      </c>
      <c r="N336" s="76"/>
      <c r="O336" s="76"/>
      <c r="P336" s="75"/>
    </row>
    <row r="337" spans="3:16" s="53" customFormat="1" ht="15" hidden="1">
      <c r="C337" s="52"/>
      <c r="F337" s="76"/>
      <c r="G337" s="76"/>
      <c r="H337" s="76"/>
      <c r="I337" s="76">
        <v>716</v>
      </c>
      <c r="J337" s="75">
        <v>1130</v>
      </c>
      <c r="K337" s="75">
        <v>12.43</v>
      </c>
      <c r="L337" s="80">
        <v>0.044</v>
      </c>
      <c r="M337" s="76">
        <v>716</v>
      </c>
      <c r="N337" s="76"/>
      <c r="O337" s="76"/>
      <c r="P337" s="75"/>
    </row>
    <row r="338" spans="3:16" s="53" customFormat="1" ht="15" hidden="1">
      <c r="C338" s="52"/>
      <c r="F338" s="76"/>
      <c r="G338" s="76"/>
      <c r="H338" s="76"/>
      <c r="I338" s="76">
        <v>1130</v>
      </c>
      <c r="J338" s="75">
        <v>1568</v>
      </c>
      <c r="K338" s="75">
        <v>30.65</v>
      </c>
      <c r="L338" s="80">
        <v>0.066</v>
      </c>
      <c r="M338" s="76">
        <v>1130</v>
      </c>
      <c r="N338" s="76"/>
      <c r="O338" s="76"/>
      <c r="P338" s="75"/>
    </row>
    <row r="339" spans="3:16" s="53" customFormat="1" ht="15" hidden="1">
      <c r="C339" s="52"/>
      <c r="F339" s="76"/>
      <c r="G339" s="76"/>
      <c r="H339" s="76"/>
      <c r="I339" s="76">
        <v>1568</v>
      </c>
      <c r="J339" s="75">
        <v>1982</v>
      </c>
      <c r="K339" s="75">
        <v>59.56</v>
      </c>
      <c r="L339" s="80">
        <v>0.088</v>
      </c>
      <c r="M339" s="76">
        <v>1568</v>
      </c>
      <c r="N339" s="76"/>
      <c r="O339" s="76"/>
      <c r="P339" s="75"/>
    </row>
    <row r="340" spans="3:16" s="53" customFormat="1" ht="15" hidden="1">
      <c r="C340" s="52"/>
      <c r="F340" s="76"/>
      <c r="G340" s="76"/>
      <c r="H340" s="76"/>
      <c r="I340" s="76">
        <v>1982</v>
      </c>
      <c r="J340" s="75">
        <v>10124</v>
      </c>
      <c r="K340" s="75">
        <v>95.99</v>
      </c>
      <c r="L340" s="80">
        <v>0.1023</v>
      </c>
      <c r="M340" s="76">
        <v>1982</v>
      </c>
      <c r="N340" s="76"/>
      <c r="O340" s="76"/>
      <c r="P340" s="75"/>
    </row>
    <row r="341" spans="3:16" s="53" customFormat="1" ht="15" hidden="1">
      <c r="C341" s="52"/>
      <c r="F341" s="76"/>
      <c r="G341" s="76"/>
      <c r="H341" s="76"/>
      <c r="I341" s="76">
        <v>10124</v>
      </c>
      <c r="J341" s="75">
        <v>12148</v>
      </c>
      <c r="K341" s="75">
        <v>928.92</v>
      </c>
      <c r="L341" s="80">
        <v>0.1133</v>
      </c>
      <c r="M341" s="76">
        <v>10124</v>
      </c>
      <c r="N341" s="76"/>
      <c r="O341" s="76"/>
      <c r="P341" s="75"/>
    </row>
    <row r="342" spans="3:16" s="53" customFormat="1" ht="15" hidden="1">
      <c r="C342" s="52"/>
      <c r="F342" s="76"/>
      <c r="G342" s="76"/>
      <c r="H342" s="76" t="s">
        <v>66</v>
      </c>
      <c r="I342" s="76"/>
      <c r="J342" s="75"/>
      <c r="K342" s="76"/>
      <c r="L342" s="76"/>
      <c r="M342" s="76"/>
      <c r="N342" s="76"/>
      <c r="O342" s="76"/>
      <c r="P342" s="75"/>
    </row>
    <row r="343" spans="3:16" s="53" customFormat="1" ht="15" hidden="1">
      <c r="C343" s="52"/>
      <c r="F343" s="76"/>
      <c r="G343" s="76"/>
      <c r="H343" s="76"/>
      <c r="I343" s="76"/>
      <c r="J343" s="75"/>
      <c r="K343" s="75"/>
      <c r="L343" s="76"/>
      <c r="M343" s="76"/>
      <c r="N343" s="76"/>
      <c r="O343" s="76"/>
      <c r="P343" s="75"/>
    </row>
    <row r="344" spans="3:16" s="53" customFormat="1" ht="15" hidden="1">
      <c r="C344" s="52"/>
      <c r="F344" s="76"/>
      <c r="G344" s="76"/>
      <c r="H344" s="76"/>
      <c r="I344" s="76">
        <v>0</v>
      </c>
      <c r="J344" s="75">
        <v>604</v>
      </c>
      <c r="K344" s="75">
        <v>0</v>
      </c>
      <c r="L344" s="80">
        <v>0.011</v>
      </c>
      <c r="M344" s="76">
        <v>0</v>
      </c>
      <c r="N344" s="76" t="b">
        <f>IF(B189="M",VLOOKUP(G316,I344:J350,1))</f>
        <v>0</v>
      </c>
      <c r="O344" s="80" t="e">
        <f>VLOOKUP(N344,I344:M350,4)</f>
        <v>#N/A</v>
      </c>
      <c r="P344" s="75" t="e">
        <f>VLOOKUP(N344,I344:K350,3)</f>
        <v>#N/A</v>
      </c>
    </row>
    <row r="345" spans="3:16" s="53" customFormat="1" ht="15" hidden="1">
      <c r="C345" s="52"/>
      <c r="F345" s="76"/>
      <c r="G345" s="76"/>
      <c r="H345" s="76"/>
      <c r="I345" s="76">
        <v>604</v>
      </c>
      <c r="J345" s="75">
        <v>1432</v>
      </c>
      <c r="K345" s="75">
        <v>6.64</v>
      </c>
      <c r="L345" s="80">
        <v>0.022</v>
      </c>
      <c r="M345" s="76">
        <v>604</v>
      </c>
      <c r="N345" s="76"/>
      <c r="O345" s="76"/>
      <c r="P345" s="75"/>
    </row>
    <row r="346" spans="3:16" s="53" customFormat="1" ht="15" hidden="1">
      <c r="C346" s="52"/>
      <c r="F346" s="76"/>
      <c r="G346" s="76"/>
      <c r="H346" s="76"/>
      <c r="I346" s="76">
        <v>1432</v>
      </c>
      <c r="J346" s="75">
        <v>2260</v>
      </c>
      <c r="K346" s="75">
        <v>24.86</v>
      </c>
      <c r="L346" s="80">
        <v>0.044</v>
      </c>
      <c r="M346" s="76">
        <v>1432</v>
      </c>
      <c r="N346" s="76"/>
      <c r="O346" s="76"/>
      <c r="P346" s="75"/>
    </row>
    <row r="347" spans="3:16" s="53" customFormat="1" ht="15" hidden="1">
      <c r="C347" s="52"/>
      <c r="F347" s="76"/>
      <c r="G347" s="76"/>
      <c r="H347" s="76"/>
      <c r="I347" s="76">
        <v>2260</v>
      </c>
      <c r="J347" s="75">
        <v>3136</v>
      </c>
      <c r="K347" s="75">
        <v>61.29</v>
      </c>
      <c r="L347" s="80">
        <v>0.066</v>
      </c>
      <c r="M347" s="76">
        <v>2260</v>
      </c>
      <c r="N347" s="76"/>
      <c r="O347" s="76"/>
      <c r="P347" s="75"/>
    </row>
    <row r="348" spans="3:16" s="53" customFormat="1" ht="15" hidden="1">
      <c r="C348" s="52"/>
      <c r="F348" s="76"/>
      <c r="G348" s="76"/>
      <c r="H348" s="76"/>
      <c r="I348" s="76">
        <v>3136</v>
      </c>
      <c r="J348" s="75">
        <v>3964</v>
      </c>
      <c r="K348" s="75">
        <v>119.11</v>
      </c>
      <c r="L348" s="80">
        <v>0.088</v>
      </c>
      <c r="M348" s="76">
        <v>3136</v>
      </c>
      <c r="N348" s="76"/>
      <c r="O348" s="76"/>
      <c r="P348" s="75"/>
    </row>
    <row r="349" spans="3:16" s="53" customFormat="1" ht="15" hidden="1">
      <c r="C349" s="52"/>
      <c r="F349" s="76"/>
      <c r="G349" s="76"/>
      <c r="H349" s="76"/>
      <c r="I349" s="76">
        <v>3964</v>
      </c>
      <c r="J349" s="75">
        <v>20248</v>
      </c>
      <c r="K349" s="75">
        <v>191.97</v>
      </c>
      <c r="L349" s="80">
        <v>0.1023</v>
      </c>
      <c r="M349" s="76">
        <v>3964</v>
      </c>
      <c r="N349" s="76"/>
      <c r="O349" s="76"/>
      <c r="P349" s="75"/>
    </row>
    <row r="350" spans="3:16" s="53" customFormat="1" ht="15" hidden="1">
      <c r="C350" s="52"/>
      <c r="F350" s="76"/>
      <c r="G350" s="76"/>
      <c r="H350" s="76"/>
      <c r="I350" s="76">
        <v>20248</v>
      </c>
      <c r="J350" s="75">
        <v>24296</v>
      </c>
      <c r="K350" s="75">
        <v>1857.82</v>
      </c>
      <c r="L350" s="80">
        <v>0.1133</v>
      </c>
      <c r="M350" s="76">
        <v>20248</v>
      </c>
      <c r="N350" s="76"/>
      <c r="O350" s="76"/>
      <c r="P350" s="75"/>
    </row>
    <row r="351" spans="3:16" s="53" customFormat="1" ht="15" hidden="1">
      <c r="C351" s="52"/>
      <c r="F351" s="76"/>
      <c r="G351" s="76"/>
      <c r="H351" s="76" t="s">
        <v>133</v>
      </c>
      <c r="I351" s="76"/>
      <c r="J351" s="75"/>
      <c r="K351" s="75"/>
      <c r="L351" s="76"/>
      <c r="M351" s="76"/>
      <c r="N351" s="76"/>
      <c r="O351" s="76"/>
      <c r="P351" s="75"/>
    </row>
    <row r="352" spans="3:16" s="53" customFormat="1" ht="15" hidden="1">
      <c r="C352" s="52"/>
      <c r="F352" s="76"/>
      <c r="G352" s="76"/>
      <c r="H352" s="76"/>
      <c r="I352" s="76"/>
      <c r="J352" s="75"/>
      <c r="K352" s="75"/>
      <c r="L352" s="76"/>
      <c r="M352" s="76"/>
      <c r="N352" s="76"/>
      <c r="O352" s="76"/>
      <c r="P352" s="75"/>
    </row>
    <row r="353" spans="3:16" s="53" customFormat="1" ht="15" hidden="1">
      <c r="C353" s="52"/>
      <c r="F353" s="76"/>
      <c r="G353" s="76"/>
      <c r="H353" s="76"/>
      <c r="I353" s="76">
        <v>0</v>
      </c>
      <c r="J353" s="75">
        <v>604</v>
      </c>
      <c r="K353" s="75">
        <v>0</v>
      </c>
      <c r="L353" s="80">
        <v>0.011</v>
      </c>
      <c r="M353" s="76">
        <v>0</v>
      </c>
      <c r="N353" s="76" t="b">
        <f>IF(B189="H",VLOOKUP(G316,I353:J359,1))</f>
        <v>0</v>
      </c>
      <c r="O353" s="80" t="e">
        <f>VLOOKUP(N353,I353:M359,4)</f>
        <v>#N/A</v>
      </c>
      <c r="P353" s="75" t="e">
        <f>VLOOKUP(N353,I353:K359,3)</f>
        <v>#N/A</v>
      </c>
    </row>
    <row r="354" spans="3:16" s="53" customFormat="1" ht="15" hidden="1">
      <c r="C354" s="52"/>
      <c r="F354" s="76"/>
      <c r="G354" s="76"/>
      <c r="H354" s="76"/>
      <c r="I354" s="76">
        <v>604</v>
      </c>
      <c r="J354" s="75">
        <v>1432</v>
      </c>
      <c r="K354" s="75">
        <v>6.64</v>
      </c>
      <c r="L354" s="80">
        <v>0.022</v>
      </c>
      <c r="M354" s="76">
        <v>604</v>
      </c>
      <c r="N354" s="76"/>
      <c r="O354" s="76"/>
      <c r="P354" s="75"/>
    </row>
    <row r="355" spans="3:16" s="53" customFormat="1" ht="15" hidden="1">
      <c r="C355" s="52"/>
      <c r="F355" s="76"/>
      <c r="G355" s="76"/>
      <c r="H355" s="76"/>
      <c r="I355" s="76">
        <v>1432</v>
      </c>
      <c r="J355" s="75">
        <v>1846</v>
      </c>
      <c r="K355" s="75">
        <v>24.86</v>
      </c>
      <c r="L355" s="80">
        <v>0.044</v>
      </c>
      <c r="M355" s="76">
        <v>1432</v>
      </c>
      <c r="N355" s="76"/>
      <c r="O355" s="76"/>
      <c r="P355" s="75"/>
    </row>
    <row r="356" spans="3:16" s="53" customFormat="1" ht="15" hidden="1">
      <c r="C356" s="52"/>
      <c r="F356" s="76"/>
      <c r="G356" s="76"/>
      <c r="H356" s="76"/>
      <c r="I356" s="76">
        <v>1846</v>
      </c>
      <c r="J356" s="75">
        <v>2284</v>
      </c>
      <c r="K356" s="75">
        <v>43.08</v>
      </c>
      <c r="L356" s="80">
        <v>0.066</v>
      </c>
      <c r="M356" s="76">
        <v>1846</v>
      </c>
      <c r="N356" s="76"/>
      <c r="O356" s="76"/>
      <c r="P356" s="75"/>
    </row>
    <row r="357" spans="3:16" s="53" customFormat="1" ht="15" hidden="1">
      <c r="C357" s="52"/>
      <c r="F357" s="76"/>
      <c r="G357" s="76"/>
      <c r="H357" s="76"/>
      <c r="I357" s="76">
        <v>2284</v>
      </c>
      <c r="J357" s="75">
        <v>2698</v>
      </c>
      <c r="K357" s="75">
        <v>71.99</v>
      </c>
      <c r="L357" s="80">
        <v>0.088</v>
      </c>
      <c r="M357" s="76">
        <v>2284</v>
      </c>
      <c r="N357" s="76"/>
      <c r="O357" s="76"/>
      <c r="P357" s="75"/>
    </row>
    <row r="358" spans="3:16" s="53" customFormat="1" ht="15" hidden="1">
      <c r="C358" s="52"/>
      <c r="F358" s="76"/>
      <c r="G358" s="76"/>
      <c r="H358" s="76"/>
      <c r="I358" s="76">
        <v>2698</v>
      </c>
      <c r="J358" s="75">
        <v>13768</v>
      </c>
      <c r="K358" s="75">
        <v>108.42</v>
      </c>
      <c r="L358" s="80">
        <v>0.1023</v>
      </c>
      <c r="M358" s="76">
        <v>2698</v>
      </c>
      <c r="N358" s="76"/>
      <c r="O358" s="76"/>
      <c r="P358" s="75"/>
    </row>
    <row r="359" spans="3:16" s="53" customFormat="1" ht="15" hidden="1">
      <c r="C359" s="52"/>
      <c r="F359" s="76"/>
      <c r="G359" s="76"/>
      <c r="H359" s="76"/>
      <c r="I359" s="76">
        <v>13768</v>
      </c>
      <c r="J359" s="75">
        <v>16522</v>
      </c>
      <c r="K359" s="75">
        <v>1240.88</v>
      </c>
      <c r="L359" s="80">
        <v>0.1133</v>
      </c>
      <c r="M359" s="76">
        <v>13768</v>
      </c>
      <c r="N359" s="76"/>
      <c r="O359" s="76"/>
      <c r="P359" s="75"/>
    </row>
    <row r="360" spans="3:16" s="53" customFormat="1" ht="15" hidden="1">
      <c r="C360" s="52"/>
      <c r="F360" s="76"/>
      <c r="I360" s="76"/>
      <c r="J360" s="75"/>
      <c r="K360" s="75"/>
      <c r="L360" s="76"/>
      <c r="M360" s="76"/>
      <c r="N360" s="76"/>
      <c r="O360" s="76"/>
      <c r="P360" s="75"/>
    </row>
    <row r="361" spans="1:6" ht="15" hidden="1">
      <c r="A361" s="53"/>
      <c r="B361" s="53"/>
      <c r="C361" s="52"/>
      <c r="D361" s="53"/>
      <c r="E361" s="53"/>
      <c r="F361" s="53"/>
    </row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</sheetData>
  <sheetProtection/>
  <mergeCells count="2">
    <mergeCell ref="I193:J193"/>
    <mergeCell ref="A198:B198"/>
  </mergeCells>
  <printOptions gridLines="1"/>
  <pageMargins left="0.2" right="0.2" top="1" bottom="0.25" header="0.3" footer="0.3"/>
  <pageSetup cellComments="asDisplayed" horizontalDpi="300" verticalDpi="300" orientation="landscape" r:id="rId5"/>
  <headerFooter>
    <oddHeader>&amp;L&amp;G&amp;C&amp;"-,Bold"&amp;16MONTHLY TO BI-WEEKLY PAY CONVERSION CALCULATOR
WORKSHEET DETAILS</oddHeader>
    <oddFooter>&amp;L&amp;D  &amp;T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209"/>
  <sheetViews>
    <sheetView zoomScale="106" zoomScaleNormal="106" zoomScalePageLayoutView="0" workbookViewId="0" topLeftCell="A1">
      <pane ySplit="1" topLeftCell="A127" activePane="bottomLeft" state="frozen"/>
      <selection pane="topLeft" activeCell="A1" sqref="A1"/>
      <selection pane="bottomLeft" activeCell="J45" sqref="J45"/>
    </sheetView>
  </sheetViews>
  <sheetFormatPr defaultColWidth="9.140625" defaultRowHeight="15"/>
  <cols>
    <col min="1" max="1" width="20.00390625" style="0" customWidth="1"/>
    <col min="2" max="2" width="18.57421875" style="0" customWidth="1"/>
    <col min="3" max="3" width="8.7109375" style="2" customWidth="1"/>
    <col min="4" max="4" width="12.421875" style="0" customWidth="1"/>
    <col min="5" max="5" width="1.57421875" style="0" customWidth="1"/>
    <col min="6" max="6" width="21.421875" style="0" customWidth="1"/>
    <col min="7" max="7" width="10.8515625" style="0" customWidth="1"/>
    <col min="8" max="8" width="2.8515625" style="0" customWidth="1"/>
    <col min="9" max="9" width="21.00390625" style="0" customWidth="1"/>
    <col min="10" max="10" width="12.28125" style="1" customWidth="1"/>
    <col min="11" max="11" width="10.421875" style="0" customWidth="1"/>
    <col min="12" max="12" width="11.57421875" style="0" customWidth="1"/>
    <col min="13" max="13" width="10.140625" style="0" customWidth="1"/>
    <col min="14" max="14" width="10.8515625" style="0" customWidth="1"/>
    <col min="15" max="15" width="11.28125" style="0" bestFit="1" customWidth="1"/>
    <col min="16" max="16" width="9.28125" style="0" bestFit="1" customWidth="1"/>
  </cols>
  <sheetData>
    <row r="1" spans="1:14" ht="42.75" customHeight="1">
      <c r="A1" s="45"/>
      <c r="B1" s="110"/>
      <c r="C1" s="119" t="s">
        <v>26</v>
      </c>
      <c r="D1" s="120" t="s">
        <v>32</v>
      </c>
      <c r="E1" s="45"/>
      <c r="F1" s="45"/>
      <c r="G1" s="45"/>
      <c r="H1" s="45"/>
      <c r="I1" s="45"/>
      <c r="J1" s="46"/>
      <c r="K1" s="45"/>
      <c r="L1" s="45"/>
      <c r="M1" s="45"/>
      <c r="N1" s="45"/>
    </row>
    <row r="2" spans="1:11" ht="15">
      <c r="A2" s="45" t="s">
        <v>23</v>
      </c>
      <c r="B2" s="112">
        <v>3465</v>
      </c>
      <c r="C2" s="124">
        <f>ROUND(B2/174,2)</f>
        <v>19.91</v>
      </c>
      <c r="D2" s="111">
        <f>B3*2</f>
        <v>80</v>
      </c>
      <c r="E2" s="45"/>
      <c r="F2" s="176" t="s">
        <v>31</v>
      </c>
      <c r="G2" s="176"/>
      <c r="H2" s="45"/>
      <c r="K2" s="48"/>
    </row>
    <row r="3" spans="1:11" ht="15">
      <c r="A3" s="45" t="s">
        <v>24</v>
      </c>
      <c r="B3" s="112">
        <v>40</v>
      </c>
      <c r="C3" s="87"/>
      <c r="D3" s="46"/>
      <c r="E3" s="45"/>
      <c r="F3" s="99" t="s">
        <v>153</v>
      </c>
      <c r="G3" s="121">
        <f>D84</f>
        <v>0</v>
      </c>
      <c r="H3" s="45"/>
      <c r="I3" s="45"/>
      <c r="J3" s="86"/>
      <c r="K3" s="48"/>
    </row>
    <row r="4" spans="1:11" ht="15">
      <c r="A4" s="45" t="s">
        <v>114</v>
      </c>
      <c r="B4" s="107" t="str">
        <f>IF(B96="Single","S",IF(B96="Married","M"))</f>
        <v>M</v>
      </c>
      <c r="C4" s="87"/>
      <c r="D4" s="46"/>
      <c r="E4" s="45"/>
      <c r="F4" s="45" t="s">
        <v>147</v>
      </c>
      <c r="G4" s="86">
        <f>Deductions_1/2</f>
        <v>18.065</v>
      </c>
      <c r="H4" s="45"/>
      <c r="I4" s="90" t="s">
        <v>145</v>
      </c>
      <c r="J4" s="91">
        <f>IF(B4=998,0,IF(B4&lt;&gt;998,J19-B31))</f>
        <v>1383.46</v>
      </c>
      <c r="K4" s="48"/>
    </row>
    <row r="5" spans="1:12" ht="15">
      <c r="A5" s="45" t="s">
        <v>115</v>
      </c>
      <c r="B5" s="113">
        <v>2</v>
      </c>
      <c r="C5" s="92"/>
      <c r="D5" s="46"/>
      <c r="E5" s="45"/>
      <c r="F5" s="45" t="s">
        <v>19</v>
      </c>
      <c r="G5" s="86">
        <f>Deductions_2/2</f>
        <v>0</v>
      </c>
      <c r="H5" s="45"/>
      <c r="I5" s="93" t="s">
        <v>144</v>
      </c>
      <c r="J5" s="94">
        <f>IF(B5=998,0,IF(B5&lt;&gt;998,J19-B31))</f>
        <v>1383.46</v>
      </c>
      <c r="K5" s="48"/>
      <c r="L5" s="1"/>
    </row>
    <row r="6" spans="1:12" ht="15">
      <c r="A6" s="45" t="s">
        <v>116</v>
      </c>
      <c r="B6" s="107" t="str">
        <f>IF(B100="Single","S",IF(B100="Married","M",IF(B100="Head of Household","H")))</f>
        <v>M</v>
      </c>
      <c r="C6" s="87"/>
      <c r="D6" s="46"/>
      <c r="E6" s="45"/>
      <c r="F6" s="45" t="s">
        <v>18</v>
      </c>
      <c r="G6" s="86">
        <f>Deductions_3/2</f>
        <v>0</v>
      </c>
      <c r="H6" s="45"/>
      <c r="I6" s="95" t="s">
        <v>21</v>
      </c>
      <c r="J6" s="96">
        <f>J19-B21-B22-B23-B28-B29-B30</f>
        <v>1447.3</v>
      </c>
      <c r="K6" s="48"/>
      <c r="L6" s="47"/>
    </row>
    <row r="7" spans="1:12" ht="15">
      <c r="A7" s="45" t="s">
        <v>117</v>
      </c>
      <c r="B7" s="114">
        <v>2</v>
      </c>
      <c r="C7" s="87"/>
      <c r="D7" s="46"/>
      <c r="E7" s="45"/>
      <c r="F7" s="45" t="s">
        <v>17</v>
      </c>
      <c r="G7" s="86">
        <f>Deductions_4/2</f>
        <v>0</v>
      </c>
      <c r="H7" s="45"/>
      <c r="I7" s="45"/>
      <c r="J7" s="46"/>
      <c r="L7" s="47"/>
    </row>
    <row r="8" spans="1:10" ht="15">
      <c r="A8" s="45" t="s">
        <v>118</v>
      </c>
      <c r="B8" s="114"/>
      <c r="C8" s="87"/>
      <c r="D8" s="46"/>
      <c r="E8" s="45"/>
      <c r="F8" s="45" t="s">
        <v>15</v>
      </c>
      <c r="G8" s="86">
        <f>Deductions_05/2</f>
        <v>0</v>
      </c>
      <c r="H8" s="45"/>
      <c r="I8" s="45"/>
      <c r="J8" s="46"/>
    </row>
    <row r="9" spans="1:10" ht="15">
      <c r="A9" s="45"/>
      <c r="B9" s="46"/>
      <c r="C9" s="87"/>
      <c r="D9" s="46"/>
      <c r="E9" s="45"/>
      <c r="F9" s="45" t="s">
        <v>13</v>
      </c>
      <c r="G9" s="86">
        <f>Deductions_06/2</f>
        <v>0</v>
      </c>
      <c r="H9" s="45"/>
      <c r="I9" s="97" t="s">
        <v>30</v>
      </c>
      <c r="J9" s="97"/>
    </row>
    <row r="10" spans="1:10" ht="15">
      <c r="A10" s="45" t="s">
        <v>161</v>
      </c>
      <c r="B10" s="100" t="s">
        <v>146</v>
      </c>
      <c r="C10" s="87"/>
      <c r="D10" s="46"/>
      <c r="E10" s="45"/>
      <c r="F10" s="45" t="s">
        <v>11</v>
      </c>
      <c r="G10" s="86">
        <f>Deductions_07/2</f>
        <v>0</v>
      </c>
      <c r="H10" s="45"/>
      <c r="I10" s="45" t="s">
        <v>28</v>
      </c>
      <c r="J10" s="86">
        <f>G124</f>
        <v>83.42400000000002</v>
      </c>
    </row>
    <row r="11" spans="1:10" ht="15">
      <c r="A11" s="45"/>
      <c r="B11" s="45"/>
      <c r="C11" s="87"/>
      <c r="D11" s="46"/>
      <c r="E11" s="45"/>
      <c r="F11" s="45" t="s">
        <v>10</v>
      </c>
      <c r="G11" s="86">
        <f>Deductions_08/2</f>
        <v>0</v>
      </c>
      <c r="H11" s="45"/>
      <c r="I11" s="45" t="s">
        <v>29</v>
      </c>
      <c r="J11" s="86">
        <f>IF(G140&gt;=0,G140,0)</f>
        <v>9.22</v>
      </c>
    </row>
    <row r="12" spans="1:10" ht="15">
      <c r="A12" s="98" t="s">
        <v>157</v>
      </c>
      <c r="B12" s="99"/>
      <c r="C12" s="87"/>
      <c r="D12" s="46"/>
      <c r="E12" s="45"/>
      <c r="F12" s="45" t="s">
        <v>9</v>
      </c>
      <c r="G12" s="86">
        <f>Deductions_09/2</f>
        <v>0</v>
      </c>
      <c r="H12" s="45"/>
      <c r="I12" s="45"/>
      <c r="J12" s="46"/>
    </row>
    <row r="13" spans="1:10" ht="15">
      <c r="A13" s="99" t="s">
        <v>4</v>
      </c>
      <c r="B13" s="100" t="str">
        <f>IF(J34="FICA","Y",IF(J34&lt;&gt;"FICA","N"))</f>
        <v>Y</v>
      </c>
      <c r="C13" s="87"/>
      <c r="D13" s="46"/>
      <c r="E13" s="45"/>
      <c r="F13" s="45" t="s">
        <v>7</v>
      </c>
      <c r="G13" s="86">
        <f>Deductions_010/2</f>
        <v>0</v>
      </c>
      <c r="H13" s="45"/>
      <c r="I13" s="176" t="s">
        <v>154</v>
      </c>
      <c r="J13" s="176"/>
    </row>
    <row r="14" spans="1:10" ht="15">
      <c r="A14" s="99" t="s">
        <v>6</v>
      </c>
      <c r="B14" s="100" t="str">
        <f>IF(J34="FICA","Y",IF(J34="Medicare","Y",IF(J34="Neither","N")))</f>
        <v>Y</v>
      </c>
      <c r="C14" s="87"/>
      <c r="D14" s="46"/>
      <c r="E14" s="45"/>
      <c r="F14" s="122" t="s">
        <v>1</v>
      </c>
      <c r="G14" s="123">
        <f>SUM(G3:G13)</f>
        <v>18.065</v>
      </c>
      <c r="H14" s="45"/>
      <c r="I14" s="45" t="s">
        <v>6</v>
      </c>
      <c r="J14" s="86">
        <f>IF(B14="Y",J6*1.45%,IF(B14="N",0))</f>
        <v>20.98585</v>
      </c>
    </row>
    <row r="15" spans="1:10" ht="15">
      <c r="A15" s="99" t="s">
        <v>146</v>
      </c>
      <c r="B15" s="101" t="str">
        <f>IF(J34="Neither","Y",IF(J34="FICA","N",IF(J34="Medicare","N")))</f>
        <v>N</v>
      </c>
      <c r="C15" s="87"/>
      <c r="D15" s="46"/>
      <c r="E15" s="45"/>
      <c r="H15" s="45"/>
      <c r="I15" s="45" t="s">
        <v>4</v>
      </c>
      <c r="J15" s="86">
        <f>IF(B13="Y",J6*4.2%,IF(B13="N",0))</f>
        <v>60.7866</v>
      </c>
    </row>
    <row r="16" spans="1:10" ht="15">
      <c r="A16" s="99"/>
      <c r="B16" s="104"/>
      <c r="C16" s="87"/>
      <c r="D16" s="46"/>
      <c r="E16" s="45"/>
      <c r="F16" s="45"/>
      <c r="G16" s="45"/>
      <c r="H16" s="45"/>
      <c r="I16" s="102" t="s">
        <v>2</v>
      </c>
      <c r="J16" s="103">
        <f>SUM(J13:J15)</f>
        <v>81.77244999999999</v>
      </c>
    </row>
    <row r="17" spans="1:10" ht="15">
      <c r="A17" s="176" t="s">
        <v>27</v>
      </c>
      <c r="B17" s="176"/>
      <c r="C17" s="87"/>
      <c r="D17" s="46"/>
      <c r="E17" s="45"/>
      <c r="F17" s="45"/>
      <c r="G17" s="45"/>
      <c r="H17" s="45"/>
      <c r="I17" s="45"/>
      <c r="J17" s="45"/>
    </row>
    <row r="18" spans="1:10" ht="15.75" thickBot="1">
      <c r="A18" s="45"/>
      <c r="B18" s="45"/>
      <c r="C18" s="87"/>
      <c r="D18" s="46"/>
      <c r="E18" s="45"/>
      <c r="H18" s="45"/>
      <c r="I18" s="45"/>
      <c r="J18" s="46"/>
    </row>
    <row r="19" spans="1:10" ht="15.75">
      <c r="A19" s="45" t="s">
        <v>20</v>
      </c>
      <c r="B19" s="86">
        <f>IF(AND(Retirement_2="UCRP",J36="UCRP2"),J39,IF(Retirement_2="UCRP",J38,IF(Retirement_2="DCP CAS",0)))</f>
        <v>63.84</v>
      </c>
      <c r="C19" s="87"/>
      <c r="D19" s="46"/>
      <c r="E19" s="45"/>
      <c r="F19" s="45"/>
      <c r="G19" s="46"/>
      <c r="H19" s="45"/>
      <c r="I19" s="115" t="s">
        <v>25</v>
      </c>
      <c r="J19" s="127">
        <f>ROUND(C2*D2,2)</f>
        <v>1592.8</v>
      </c>
    </row>
    <row r="20" spans="1:10" ht="15.75">
      <c r="A20" s="45" t="s">
        <v>160</v>
      </c>
      <c r="B20" s="86">
        <f>IF(J35="DCP CAS",F55,IF(J35="UCRP",0,IF(J35="None",0)))</f>
        <v>0</v>
      </c>
      <c r="C20" s="87"/>
      <c r="D20" s="46"/>
      <c r="E20" s="45"/>
      <c r="F20" s="45"/>
      <c r="G20" s="46"/>
      <c r="H20" s="45"/>
      <c r="I20" s="125" t="s">
        <v>162</v>
      </c>
      <c r="J20" s="128"/>
    </row>
    <row r="21" spans="1:10" ht="15.75">
      <c r="A21" t="s">
        <v>16</v>
      </c>
      <c r="B21" s="49">
        <f>Medical_Premium/2</f>
        <v>61.5</v>
      </c>
      <c r="C21" s="87"/>
      <c r="D21" s="46"/>
      <c r="E21" s="45"/>
      <c r="F21" s="45"/>
      <c r="G21" s="46"/>
      <c r="H21" s="45"/>
      <c r="I21" s="117" t="s">
        <v>4</v>
      </c>
      <c r="J21" s="128">
        <f>J15</f>
        <v>60.7866</v>
      </c>
    </row>
    <row r="22" spans="1:10" ht="15.75">
      <c r="A22" s="45" t="s">
        <v>166</v>
      </c>
      <c r="B22" s="49">
        <f>Health_FSA/2</f>
        <v>50</v>
      </c>
      <c r="C22" s="87"/>
      <c r="D22" s="46"/>
      <c r="E22" s="45"/>
      <c r="F22" s="45"/>
      <c r="G22" s="46"/>
      <c r="H22" s="45"/>
      <c r="I22" s="116" t="s">
        <v>6</v>
      </c>
      <c r="J22" s="128">
        <f>J14</f>
        <v>20.98585</v>
      </c>
    </row>
    <row r="23" spans="1:10" ht="16.5" thickBot="1">
      <c r="A23" s="45" t="s">
        <v>12</v>
      </c>
      <c r="B23" s="49">
        <f>DepCare_FSA/2</f>
        <v>0</v>
      </c>
      <c r="C23" s="87"/>
      <c r="D23" s="46"/>
      <c r="E23" s="45"/>
      <c r="F23" s="45"/>
      <c r="G23" s="45"/>
      <c r="H23" s="45"/>
      <c r="I23" s="116" t="s">
        <v>167</v>
      </c>
      <c r="J23" s="128">
        <f>B31+G14+J10+J11+J18</f>
        <v>320.04900000000004</v>
      </c>
    </row>
    <row r="24" spans="1:11" ht="16.5" thickBot="1">
      <c r="A24" s="45" t="s">
        <v>33</v>
      </c>
      <c r="B24" s="49">
        <f>_403B_Flat/2</f>
        <v>0</v>
      </c>
      <c r="C24" s="87"/>
      <c r="D24" s="46"/>
      <c r="E24" s="45"/>
      <c r="F24" s="45"/>
      <c r="G24" s="45"/>
      <c r="H24" s="45"/>
      <c r="I24" s="118" t="s">
        <v>163</v>
      </c>
      <c r="J24" s="129">
        <f>ROUND(J19-J21-J22-J23,2)</f>
        <v>1190.98</v>
      </c>
      <c r="K24" s="1"/>
    </row>
    <row r="25" spans="1:10" ht="15">
      <c r="A25" s="45" t="s">
        <v>34</v>
      </c>
      <c r="B25" s="49">
        <f>_403B_Percent/2</f>
        <v>0</v>
      </c>
      <c r="C25" s="87"/>
      <c r="D25" s="46"/>
      <c r="E25" s="45"/>
      <c r="F25" s="45"/>
      <c r="G25" s="45"/>
      <c r="H25" s="45"/>
      <c r="I25" s="45"/>
      <c r="J25" s="46"/>
    </row>
    <row r="26" spans="1:10" ht="15">
      <c r="A26" s="45" t="s">
        <v>35</v>
      </c>
      <c r="B26" s="49">
        <f>_457B_Flat/2</f>
        <v>0</v>
      </c>
      <c r="C26" s="87"/>
      <c r="D26" s="46"/>
      <c r="E26" s="45"/>
      <c r="F26" s="45"/>
      <c r="G26" s="45"/>
      <c r="H26" s="45"/>
      <c r="I26" s="45"/>
      <c r="J26" s="46"/>
    </row>
    <row r="27" spans="1:10" ht="15">
      <c r="A27" s="45" t="s">
        <v>36</v>
      </c>
      <c r="B27" s="49">
        <f>_457B_Percent/2</f>
        <v>0</v>
      </c>
      <c r="C27" s="87"/>
      <c r="D27" s="46"/>
      <c r="E27" s="45"/>
      <c r="F27" s="45"/>
      <c r="G27" s="45"/>
      <c r="H27" s="45"/>
      <c r="I27" s="45"/>
      <c r="J27" s="46"/>
    </row>
    <row r="28" spans="1:10" ht="15">
      <c r="A28" s="45" t="s">
        <v>8</v>
      </c>
      <c r="B28" s="49">
        <f>Parking_Pretaxed/2</f>
        <v>0</v>
      </c>
      <c r="C28" s="87"/>
      <c r="D28" s="46"/>
      <c r="E28" s="45"/>
      <c r="F28" s="45"/>
      <c r="G28" s="45"/>
      <c r="H28" s="45"/>
      <c r="I28" s="45"/>
      <c r="J28" s="45"/>
    </row>
    <row r="29" spans="1:10" ht="15">
      <c r="A29" s="45" t="s">
        <v>5</v>
      </c>
      <c r="B29" s="49">
        <f>Vanpool_Pretaxed/2</f>
        <v>34</v>
      </c>
      <c r="C29" s="87"/>
      <c r="D29" s="46"/>
      <c r="E29" s="45"/>
      <c r="F29" s="45"/>
      <c r="G29" s="45"/>
      <c r="H29" s="45"/>
      <c r="I29" s="45"/>
      <c r="J29" s="46"/>
    </row>
    <row r="30" spans="1:10" ht="15">
      <c r="A30" s="45" t="s">
        <v>148</v>
      </c>
      <c r="B30" s="49">
        <f>Transit_Pretaxed/2</f>
        <v>0</v>
      </c>
      <c r="C30" s="87"/>
      <c r="D30" s="46"/>
      <c r="E30" s="45"/>
      <c r="F30" s="45"/>
      <c r="G30" s="45"/>
      <c r="H30" s="45"/>
      <c r="I30" s="45"/>
      <c r="J30" s="45"/>
    </row>
    <row r="31" spans="1:10" ht="15">
      <c r="A31" s="105" t="s">
        <v>3</v>
      </c>
      <c r="B31" s="126">
        <f>SUM(B19:B30)</f>
        <v>209.34</v>
      </c>
      <c r="C31" s="106"/>
      <c r="D31" s="46"/>
      <c r="E31" s="45"/>
      <c r="F31" s="45"/>
      <c r="G31" s="45"/>
      <c r="H31" s="45"/>
      <c r="I31" s="45"/>
      <c r="J31" s="45"/>
    </row>
    <row r="32" spans="3:7" s="53" customFormat="1" ht="15">
      <c r="C32" s="52"/>
      <c r="F32" s="49">
        <v>19.95</v>
      </c>
      <c r="G32" s="49">
        <v>174</v>
      </c>
    </row>
    <row r="33" spans="2:7" s="53" customFormat="1" ht="15">
      <c r="B33" s="49"/>
      <c r="C33" s="52"/>
      <c r="F33" s="49"/>
      <c r="G33" s="49">
        <f>F32*G32</f>
        <v>3471.2999999999997</v>
      </c>
    </row>
    <row r="34" spans="1:10" s="53" customFormat="1" ht="15">
      <c r="A34" s="50" t="s">
        <v>57</v>
      </c>
      <c r="B34" s="51">
        <f>J19</f>
        <v>1592.8</v>
      </c>
      <c r="C34" s="52"/>
      <c r="D34" s="109"/>
      <c r="I34" s="53" t="s">
        <v>159</v>
      </c>
      <c r="J34" s="53" t="s">
        <v>2</v>
      </c>
    </row>
    <row r="35" spans="3:10" s="53" customFormat="1" ht="15">
      <c r="C35" s="52"/>
      <c r="I35" s="53" t="s">
        <v>158</v>
      </c>
      <c r="J35" s="53" t="s">
        <v>168</v>
      </c>
    </row>
    <row r="36" spans="1:10" s="53" customFormat="1" ht="15">
      <c r="A36" s="54"/>
      <c r="B36" s="55" t="s">
        <v>54</v>
      </c>
      <c r="C36" s="56" t="s">
        <v>22</v>
      </c>
      <c r="D36" s="56" t="s">
        <v>55</v>
      </c>
      <c r="E36" s="57"/>
      <c r="F36" s="57" t="s">
        <v>56</v>
      </c>
      <c r="I36" s="53" t="s">
        <v>58</v>
      </c>
      <c r="J36" s="49" t="s">
        <v>146</v>
      </c>
    </row>
    <row r="37" spans="1:6" s="53" customFormat="1" ht="15">
      <c r="A37" s="54" t="s">
        <v>50</v>
      </c>
      <c r="B37" s="58">
        <v>0.05</v>
      </c>
      <c r="C37" s="59">
        <v>82.84</v>
      </c>
      <c r="D37" s="59">
        <v>19</v>
      </c>
      <c r="E37" s="59"/>
      <c r="F37" s="60">
        <v>63.84</v>
      </c>
    </row>
    <row r="38" spans="1:10" s="53" customFormat="1" ht="15">
      <c r="A38" s="54" t="s">
        <v>49</v>
      </c>
      <c r="B38" s="58">
        <v>0.05</v>
      </c>
      <c r="C38" s="59">
        <v>82.84</v>
      </c>
      <c r="D38" s="59">
        <v>19</v>
      </c>
      <c r="E38" s="59"/>
      <c r="F38" s="60">
        <v>63.84</v>
      </c>
      <c r="I38" s="53" t="s">
        <v>50</v>
      </c>
      <c r="J38" s="108">
        <f>F37</f>
        <v>63.84</v>
      </c>
    </row>
    <row r="39" spans="1:10" s="53" customFormat="1" ht="15">
      <c r="A39" s="54" t="s">
        <v>38</v>
      </c>
      <c r="B39" s="58">
        <v>0.05</v>
      </c>
      <c r="C39" s="59">
        <v>82.84</v>
      </c>
      <c r="D39" s="59">
        <v>19</v>
      </c>
      <c r="E39" s="59"/>
      <c r="F39" s="60">
        <v>63.84</v>
      </c>
      <c r="I39" s="53" t="s">
        <v>164</v>
      </c>
      <c r="J39" s="108">
        <f>F52</f>
        <v>38.98800000000001</v>
      </c>
    </row>
    <row r="40" spans="1:10" s="53" customFormat="1" ht="15">
      <c r="A40" s="54" t="s">
        <v>39</v>
      </c>
      <c r="B40" s="58">
        <v>0.05</v>
      </c>
      <c r="C40" s="59">
        <v>82.84</v>
      </c>
      <c r="D40" s="59">
        <v>19</v>
      </c>
      <c r="E40" s="59"/>
      <c r="F40" s="60">
        <v>63.84</v>
      </c>
      <c r="I40" s="53" t="s">
        <v>165</v>
      </c>
      <c r="J40" s="108">
        <f>F55</f>
        <v>119.46</v>
      </c>
    </row>
    <row r="41" spans="1:6" s="53" customFormat="1" ht="15">
      <c r="A41" s="54" t="s">
        <v>40</v>
      </c>
      <c r="B41" s="58">
        <v>0.05</v>
      </c>
      <c r="C41" s="59">
        <v>82.84</v>
      </c>
      <c r="D41" s="59">
        <v>19</v>
      </c>
      <c r="E41" s="59"/>
      <c r="F41" s="60">
        <v>63.84</v>
      </c>
    </row>
    <row r="42" spans="1:6" s="53" customFormat="1" ht="15">
      <c r="A42" s="54" t="s">
        <v>52</v>
      </c>
      <c r="B42" s="58">
        <v>0.05</v>
      </c>
      <c r="C42" s="59">
        <v>82.84</v>
      </c>
      <c r="D42" s="59">
        <v>19</v>
      </c>
      <c r="E42" s="59"/>
      <c r="F42" s="60">
        <v>63.84</v>
      </c>
    </row>
    <row r="43" spans="1:6" s="53" customFormat="1" ht="15">
      <c r="A43" s="54" t="s">
        <v>42</v>
      </c>
      <c r="B43" s="58">
        <v>0.05</v>
      </c>
      <c r="C43" s="59">
        <v>82.84</v>
      </c>
      <c r="D43" s="59">
        <v>19</v>
      </c>
      <c r="E43" s="59"/>
      <c r="F43" s="60">
        <v>63.84</v>
      </c>
    </row>
    <row r="44" spans="1:6" s="53" customFormat="1" ht="15">
      <c r="A44" s="54" t="s">
        <v>43</v>
      </c>
      <c r="B44" s="58">
        <v>0.05</v>
      </c>
      <c r="C44" s="59">
        <v>82.84</v>
      </c>
      <c r="D44" s="59">
        <v>19</v>
      </c>
      <c r="E44" s="59"/>
      <c r="F44" s="60">
        <v>63.84</v>
      </c>
    </row>
    <row r="45" spans="1:6" s="53" customFormat="1" ht="15">
      <c r="A45" s="54" t="s">
        <v>44</v>
      </c>
      <c r="B45" s="58">
        <v>0.05</v>
      </c>
      <c r="C45" s="59">
        <v>82.84</v>
      </c>
      <c r="D45" s="59">
        <v>19</v>
      </c>
      <c r="E45" s="59"/>
      <c r="F45" s="60">
        <v>63.84</v>
      </c>
    </row>
    <row r="46" spans="1:6" s="53" customFormat="1" ht="15">
      <c r="A46" s="54" t="s">
        <v>45</v>
      </c>
      <c r="B46" s="58">
        <v>0.05</v>
      </c>
      <c r="C46" s="59">
        <v>82.84</v>
      </c>
      <c r="D46" s="59">
        <v>19</v>
      </c>
      <c r="E46" s="59"/>
      <c r="F46" s="60">
        <v>63.84</v>
      </c>
    </row>
    <row r="47" spans="1:10" s="53" customFormat="1" ht="15">
      <c r="A47" s="54" t="s">
        <v>46</v>
      </c>
      <c r="B47" s="58">
        <v>0.05</v>
      </c>
      <c r="C47" s="59">
        <v>82.84</v>
      </c>
      <c r="D47" s="59">
        <v>19</v>
      </c>
      <c r="E47" s="59"/>
      <c r="F47" s="60">
        <v>63.84</v>
      </c>
      <c r="J47" s="49"/>
    </row>
    <row r="48" spans="1:10" s="53" customFormat="1" ht="15">
      <c r="A48" s="54" t="s">
        <v>47</v>
      </c>
      <c r="B48" s="58">
        <v>0.05</v>
      </c>
      <c r="C48" s="59">
        <v>82.84</v>
      </c>
      <c r="D48" s="59">
        <v>19</v>
      </c>
      <c r="E48" s="59"/>
      <c r="F48" s="60">
        <v>63.84</v>
      </c>
      <c r="J48" s="49"/>
    </row>
    <row r="49" spans="1:10" s="53" customFormat="1" ht="15">
      <c r="A49" s="54" t="s">
        <v>53</v>
      </c>
      <c r="B49" s="58">
        <v>0.05</v>
      </c>
      <c r="C49" s="59">
        <v>82.84</v>
      </c>
      <c r="D49" s="59">
        <v>19</v>
      </c>
      <c r="E49" s="59"/>
      <c r="F49" s="60">
        <v>63.84</v>
      </c>
      <c r="J49" s="49"/>
    </row>
    <row r="50" spans="1:10" s="53" customFormat="1" ht="15">
      <c r="A50" s="54" t="s">
        <v>48</v>
      </c>
      <c r="B50" s="58">
        <v>0.05</v>
      </c>
      <c r="C50" s="59">
        <v>82.84</v>
      </c>
      <c r="D50" s="59">
        <v>19</v>
      </c>
      <c r="E50" s="59"/>
      <c r="F50" s="60">
        <v>63.84</v>
      </c>
      <c r="J50" s="49"/>
    </row>
    <row r="51" spans="1:10" s="53" customFormat="1" ht="15">
      <c r="A51" s="54"/>
      <c r="B51" s="58"/>
      <c r="C51" s="59"/>
      <c r="D51" s="59"/>
      <c r="E51" s="59"/>
      <c r="F51" s="60"/>
      <c r="J51" s="49"/>
    </row>
    <row r="52" spans="1:10" s="53" customFormat="1" ht="15">
      <c r="A52" s="54" t="s">
        <v>51</v>
      </c>
      <c r="B52" s="58">
        <v>0.035</v>
      </c>
      <c r="C52" s="59">
        <v>57.98800000000001</v>
      </c>
      <c r="D52" s="59">
        <v>19</v>
      </c>
      <c r="E52" s="59"/>
      <c r="F52" s="60">
        <v>38.98800000000001</v>
      </c>
      <c r="J52" s="49"/>
    </row>
    <row r="53" spans="1:10" s="53" customFormat="1" ht="15">
      <c r="A53" s="54" t="s">
        <v>41</v>
      </c>
      <c r="B53" s="58">
        <v>0.035</v>
      </c>
      <c r="C53" s="59">
        <v>57.98800000000001</v>
      </c>
      <c r="D53" s="59">
        <v>19</v>
      </c>
      <c r="E53" s="59"/>
      <c r="F53" s="60">
        <v>38.98800000000001</v>
      </c>
      <c r="J53" s="49"/>
    </row>
    <row r="54" spans="1:10" s="53" customFormat="1" ht="15">
      <c r="A54" s="54"/>
      <c r="B54" s="58"/>
      <c r="C54" s="59"/>
      <c r="D54" s="59"/>
      <c r="E54" s="59"/>
      <c r="F54" s="60"/>
      <c r="J54" s="49"/>
    </row>
    <row r="55" spans="1:10" s="53" customFormat="1" ht="15">
      <c r="A55" s="54" t="s">
        <v>37</v>
      </c>
      <c r="B55" s="58">
        <v>0.075</v>
      </c>
      <c r="C55" s="59">
        <f>B34*B55</f>
        <v>119.46</v>
      </c>
      <c r="D55" s="59">
        <v>0</v>
      </c>
      <c r="E55" s="59"/>
      <c r="F55" s="60">
        <f>C55-D55</f>
        <v>119.46</v>
      </c>
      <c r="J55" s="49"/>
    </row>
    <row r="56" spans="3:10" s="53" customFormat="1" ht="15">
      <c r="C56" s="52"/>
      <c r="J56" s="49"/>
    </row>
    <row r="57" spans="1:10" s="53" customFormat="1" ht="15.75">
      <c r="A57" s="61" t="s">
        <v>58</v>
      </c>
      <c r="B57" s="61" t="s">
        <v>62</v>
      </c>
      <c r="C57" s="61" t="s">
        <v>59</v>
      </c>
      <c r="D57" s="61" t="s">
        <v>60</v>
      </c>
      <c r="E57" s="61"/>
      <c r="F57" s="61" t="s">
        <v>61</v>
      </c>
      <c r="J57" s="49"/>
    </row>
    <row r="58" spans="1:10" s="53" customFormat="1" ht="15.75">
      <c r="A58" s="62" t="s">
        <v>39</v>
      </c>
      <c r="B58" s="63">
        <v>0.005</v>
      </c>
      <c r="C58" s="62">
        <f>B34*B58</f>
        <v>7.9639999999999995</v>
      </c>
      <c r="D58" s="63">
        <v>0.00475</v>
      </c>
      <c r="E58" s="62"/>
      <c r="F58" s="62">
        <f>B34*D58</f>
        <v>7.565799999999999</v>
      </c>
      <c r="J58" s="49"/>
    </row>
    <row r="59" spans="1:10" s="53" customFormat="1" ht="15.75">
      <c r="A59" s="62" t="s">
        <v>40</v>
      </c>
      <c r="B59" s="63">
        <v>0.015</v>
      </c>
      <c r="C59" s="62">
        <f>IF(B34*B59&lt;=62.61,B34*B59,62.61)</f>
        <v>23.892</v>
      </c>
      <c r="D59" s="63">
        <v>0.015</v>
      </c>
      <c r="E59" s="62"/>
      <c r="F59" s="62">
        <f>IF(B34*D59&lt;=62.61,B34*D59,62.61)</f>
        <v>23.892</v>
      </c>
      <c r="J59" s="49"/>
    </row>
    <row r="60" spans="1:10" s="53" customFormat="1" ht="15.75">
      <c r="A60" s="62" t="s">
        <v>41</v>
      </c>
      <c r="B60" s="63">
        <v>0.013</v>
      </c>
      <c r="C60" s="62">
        <f>IF(B34*B60&lt;=60,B34*B60,60)</f>
        <v>20.7064</v>
      </c>
      <c r="D60" s="63">
        <v>0.013</v>
      </c>
      <c r="E60" s="62"/>
      <c r="F60" s="62">
        <f>IF(B34*D60&lt;=60,B34*D60,60)</f>
        <v>20.7064</v>
      </c>
      <c r="J60" s="49"/>
    </row>
    <row r="61" spans="1:10" s="53" customFormat="1" ht="15.75">
      <c r="A61" s="62" t="s">
        <v>42</v>
      </c>
      <c r="B61" s="63">
        <v>0.0135</v>
      </c>
      <c r="C61" s="62">
        <f>IF(B34*B61&lt;=65,B34*B61,65)</f>
        <v>21.5028</v>
      </c>
      <c r="D61" s="63">
        <v>0.0135</v>
      </c>
      <c r="E61" s="62"/>
      <c r="F61" s="62">
        <f>IF(B34*D61&lt;=65,B34*D61,65)</f>
        <v>21.5028</v>
      </c>
      <c r="J61" s="49"/>
    </row>
    <row r="62" spans="1:10" s="53" customFormat="1" ht="15.75">
      <c r="A62" s="62" t="s">
        <v>44</v>
      </c>
      <c r="B62" s="63">
        <v>0.0135</v>
      </c>
      <c r="C62" s="62">
        <f>IF(B34*B62&lt;=65,B34*B62,65)</f>
        <v>21.5028</v>
      </c>
      <c r="D62" s="63">
        <v>0.0135</v>
      </c>
      <c r="E62" s="62"/>
      <c r="F62" s="62">
        <f>IF(B34*D62&lt;=65,B34*D62,65)</f>
        <v>21.5028</v>
      </c>
      <c r="J62" s="49"/>
    </row>
    <row r="63" spans="1:10" s="53" customFormat="1" ht="15.75">
      <c r="A63" s="62" t="s">
        <v>45</v>
      </c>
      <c r="B63" s="63">
        <v>1.015</v>
      </c>
      <c r="C63" s="62">
        <f>IF(D2&gt;24,B63*C2,IF(D2&lt;24,25.86,""))</f>
        <v>20.20865</v>
      </c>
      <c r="D63" s="63">
        <v>1.015</v>
      </c>
      <c r="E63" s="62"/>
      <c r="F63" s="62">
        <f>IF(D2&gt;24,0.8907*B63*C2,IF(D2&lt;24,23.03,""))</f>
        <v>17.999844555</v>
      </c>
      <c r="J63" s="49"/>
    </row>
    <row r="64" spans="1:10" s="53" customFormat="1" ht="15.75">
      <c r="A64" s="62" t="s">
        <v>52</v>
      </c>
      <c r="B64" s="63">
        <v>0.013</v>
      </c>
      <c r="C64" s="62">
        <f>B34*B64</f>
        <v>20.7064</v>
      </c>
      <c r="D64" s="63">
        <v>0.013</v>
      </c>
      <c r="E64" s="62"/>
      <c r="F64" s="62">
        <f>B34*D64</f>
        <v>20.7064</v>
      </c>
      <c r="J64" s="49"/>
    </row>
    <row r="65" spans="1:10" s="53" customFormat="1" ht="15.75">
      <c r="A65" s="62" t="s">
        <v>48</v>
      </c>
      <c r="B65" s="63">
        <v>0.015</v>
      </c>
      <c r="C65" s="62">
        <f>B34*B65</f>
        <v>23.892</v>
      </c>
      <c r="D65" s="63">
        <v>0.015</v>
      </c>
      <c r="E65" s="62"/>
      <c r="F65" s="62">
        <f>B34*D65</f>
        <v>23.892</v>
      </c>
      <c r="J65" s="49"/>
    </row>
    <row r="66" spans="1:10" s="53" customFormat="1" ht="15.75">
      <c r="A66" s="62" t="s">
        <v>53</v>
      </c>
      <c r="B66" s="63">
        <v>0.013</v>
      </c>
      <c r="C66" s="62">
        <f>B34*B66</f>
        <v>20.7064</v>
      </c>
      <c r="D66" s="63">
        <v>0.013</v>
      </c>
      <c r="E66" s="62"/>
      <c r="F66" s="62">
        <f>B34*D66</f>
        <v>20.7064</v>
      </c>
      <c r="J66" s="49"/>
    </row>
    <row r="67" spans="1:10" s="53" customFormat="1" ht="15.75">
      <c r="A67" s="62" t="s">
        <v>43</v>
      </c>
      <c r="B67" s="63">
        <v>0.012</v>
      </c>
      <c r="C67" s="62">
        <f>B34*B67</f>
        <v>19.113599999999998</v>
      </c>
      <c r="D67" s="63">
        <v>0.0108</v>
      </c>
      <c r="E67" s="62"/>
      <c r="F67" s="62">
        <f>B34*D67</f>
        <v>17.20224</v>
      </c>
      <c r="J67" s="49"/>
    </row>
    <row r="68" spans="1:10" s="53" customFormat="1" ht="15.75">
      <c r="A68" s="62"/>
      <c r="B68" s="63"/>
      <c r="C68" s="62"/>
      <c r="D68" s="63"/>
      <c r="E68" s="62"/>
      <c r="F68" s="62"/>
      <c r="J68" s="49"/>
    </row>
    <row r="69" spans="1:10" s="53" customFormat="1" ht="15.75">
      <c r="A69" s="62"/>
      <c r="B69" s="63"/>
      <c r="C69" s="62"/>
      <c r="D69" s="63"/>
      <c r="E69" s="62"/>
      <c r="F69" s="62"/>
      <c r="J69" s="49"/>
    </row>
    <row r="70" spans="1:10" s="53" customFormat="1" ht="15.75">
      <c r="A70" s="64" t="s">
        <v>104</v>
      </c>
      <c r="B70" s="49">
        <f>C63</f>
        <v>20.20865</v>
      </c>
      <c r="C70" s="52"/>
      <c r="D70" s="49"/>
      <c r="J70" s="49"/>
    </row>
    <row r="71" spans="1:10" s="53" customFormat="1" ht="15.75">
      <c r="A71" s="64" t="s">
        <v>105</v>
      </c>
      <c r="B71" s="49">
        <f>F63</f>
        <v>17.999844555</v>
      </c>
      <c r="C71" s="52"/>
      <c r="D71" s="49"/>
      <c r="F71" s="88" t="s">
        <v>147</v>
      </c>
      <c r="G71" s="89">
        <v>36.13</v>
      </c>
      <c r="J71" s="49"/>
    </row>
    <row r="72" spans="1:10" s="53" customFormat="1" ht="15.75">
      <c r="A72" s="64" t="s">
        <v>95</v>
      </c>
      <c r="B72" s="49">
        <f>F58</f>
        <v>7.565799999999999</v>
      </c>
      <c r="C72" s="52"/>
      <c r="F72" s="88" t="s">
        <v>19</v>
      </c>
      <c r="G72" s="89"/>
      <c r="J72" s="49"/>
    </row>
    <row r="73" spans="1:10" s="53" customFormat="1" ht="15.75">
      <c r="A73" s="64" t="s">
        <v>94</v>
      </c>
      <c r="B73" s="49">
        <f>C58</f>
        <v>7.9639999999999995</v>
      </c>
      <c r="C73" s="52"/>
      <c r="D73" s="49"/>
      <c r="F73" s="88" t="s">
        <v>18</v>
      </c>
      <c r="G73" s="89"/>
      <c r="J73" s="49"/>
    </row>
    <row r="74" spans="1:10" s="53" customFormat="1" ht="15.75">
      <c r="A74" s="64" t="s">
        <v>97</v>
      </c>
      <c r="B74" s="49">
        <f>F59</f>
        <v>23.892</v>
      </c>
      <c r="C74" s="52"/>
      <c r="D74" s="49"/>
      <c r="F74" s="88" t="s">
        <v>17</v>
      </c>
      <c r="G74" s="89"/>
      <c r="J74" s="49"/>
    </row>
    <row r="75" spans="1:10" s="53" customFormat="1" ht="15.75">
      <c r="A75" s="64" t="s">
        <v>96</v>
      </c>
      <c r="B75" s="49">
        <f>C59</f>
        <v>23.892</v>
      </c>
      <c r="C75" s="52"/>
      <c r="D75" s="49"/>
      <c r="F75" s="88" t="s">
        <v>15</v>
      </c>
      <c r="G75" s="89"/>
      <c r="J75" s="49"/>
    </row>
    <row r="76" spans="1:10" s="53" customFormat="1" ht="15.75">
      <c r="A76" s="64" t="s">
        <v>99</v>
      </c>
      <c r="B76" s="49">
        <f>F60</f>
        <v>20.7064</v>
      </c>
      <c r="C76" s="52"/>
      <c r="D76" s="49"/>
      <c r="F76" s="88" t="s">
        <v>13</v>
      </c>
      <c r="G76" s="89"/>
      <c r="J76" s="49"/>
    </row>
    <row r="77" spans="1:10" s="53" customFormat="1" ht="15.75">
      <c r="A77" s="64" t="s">
        <v>98</v>
      </c>
      <c r="B77" s="49">
        <f>C60</f>
        <v>20.7064</v>
      </c>
      <c r="C77" s="52"/>
      <c r="D77" s="49"/>
      <c r="F77" s="88" t="s">
        <v>11</v>
      </c>
      <c r="G77" s="89"/>
      <c r="J77" s="49"/>
    </row>
    <row r="78" spans="1:10" s="53" customFormat="1" ht="15.75">
      <c r="A78" s="64" t="s">
        <v>101</v>
      </c>
      <c r="B78" s="49">
        <f>F61</f>
        <v>21.5028</v>
      </c>
      <c r="C78" s="52"/>
      <c r="D78" s="49"/>
      <c r="F78" s="88" t="s">
        <v>10</v>
      </c>
      <c r="G78" s="89"/>
      <c r="J78" s="49"/>
    </row>
    <row r="79" spans="1:10" s="53" customFormat="1" ht="15.75">
      <c r="A79" s="64" t="s">
        <v>100</v>
      </c>
      <c r="B79" s="49">
        <f>C61</f>
        <v>21.5028</v>
      </c>
      <c r="C79" s="52"/>
      <c r="D79" s="49"/>
      <c r="F79" s="88" t="s">
        <v>9</v>
      </c>
      <c r="G79" s="89"/>
      <c r="J79" s="49"/>
    </row>
    <row r="80" spans="1:10" s="53" customFormat="1" ht="15.75">
      <c r="A80" s="64" t="s">
        <v>113</v>
      </c>
      <c r="B80" s="49">
        <f>F67</f>
        <v>17.20224</v>
      </c>
      <c r="C80" s="52"/>
      <c r="D80" s="49"/>
      <c r="F80" s="88" t="s">
        <v>7</v>
      </c>
      <c r="G80" s="89"/>
      <c r="J80" s="49"/>
    </row>
    <row r="81" spans="1:10" s="53" customFormat="1" ht="15.75">
      <c r="A81" s="64" t="s">
        <v>112</v>
      </c>
      <c r="B81" s="49">
        <f>C67</f>
        <v>19.113599999999998</v>
      </c>
      <c r="C81" s="52"/>
      <c r="D81" s="49"/>
      <c r="J81" s="49"/>
    </row>
    <row r="82" spans="1:10" s="53" customFormat="1" ht="15.75">
      <c r="A82" s="64" t="s">
        <v>103</v>
      </c>
      <c r="B82" s="49">
        <f>F62</f>
        <v>21.5028</v>
      </c>
      <c r="C82" s="52"/>
      <c r="D82" s="49"/>
      <c r="J82" s="49"/>
    </row>
    <row r="83" spans="1:10" s="53" customFormat="1" ht="15.75">
      <c r="A83" s="64" t="s">
        <v>102</v>
      </c>
      <c r="B83" s="49">
        <f>C62</f>
        <v>21.5028</v>
      </c>
      <c r="C83" s="52"/>
      <c r="D83" s="49"/>
      <c r="J83" s="49"/>
    </row>
    <row r="84" spans="1:10" s="53" customFormat="1" ht="15.75">
      <c r="A84" s="64" t="s">
        <v>146</v>
      </c>
      <c r="B84" s="49">
        <f>F68</f>
        <v>0</v>
      </c>
      <c r="C84" s="52"/>
      <c r="D84" s="49">
        <f>VLOOKUP(Union_Title,A70:B90,2)</f>
        <v>0</v>
      </c>
      <c r="F84" s="49"/>
      <c r="J84" s="49"/>
    </row>
    <row r="85" spans="1:10" s="53" customFormat="1" ht="15.75">
      <c r="A85" s="64" t="s">
        <v>107</v>
      </c>
      <c r="B85" s="49">
        <f>F64</f>
        <v>20.7064</v>
      </c>
      <c r="C85" s="52"/>
      <c r="D85" s="49"/>
      <c r="J85" s="49"/>
    </row>
    <row r="86" spans="1:10" s="53" customFormat="1" ht="15.75">
      <c r="A86" s="64" t="s">
        <v>106</v>
      </c>
      <c r="B86" s="49">
        <f>C64</f>
        <v>20.7064</v>
      </c>
      <c r="C86" s="52"/>
      <c r="D86" s="49"/>
      <c r="J86" s="49"/>
    </row>
    <row r="87" spans="1:10" s="53" customFormat="1" ht="15.75">
      <c r="A87" s="64" t="s">
        <v>109</v>
      </c>
      <c r="B87" s="49">
        <f>F65</f>
        <v>23.892</v>
      </c>
      <c r="C87" s="52"/>
      <c r="D87" s="49"/>
      <c r="J87" s="49"/>
    </row>
    <row r="88" spans="1:10" s="53" customFormat="1" ht="15.75">
      <c r="A88" s="64" t="s">
        <v>108</v>
      </c>
      <c r="B88" s="49">
        <f>C65</f>
        <v>23.892</v>
      </c>
      <c r="C88" s="52"/>
      <c r="D88" s="49"/>
      <c r="J88" s="49"/>
    </row>
    <row r="89" spans="1:10" s="53" customFormat="1" ht="15.75">
      <c r="A89" s="64" t="s">
        <v>111</v>
      </c>
      <c r="B89" s="49">
        <f>F66</f>
        <v>20.7064</v>
      </c>
      <c r="C89" s="52"/>
      <c r="D89" s="49"/>
      <c r="J89" s="49"/>
    </row>
    <row r="90" spans="1:10" s="53" customFormat="1" ht="15.75">
      <c r="A90" s="64" t="s">
        <v>110</v>
      </c>
      <c r="B90" s="49">
        <f>C66</f>
        <v>20.7064</v>
      </c>
      <c r="C90" s="52"/>
      <c r="D90" s="49"/>
      <c r="J90" s="49"/>
    </row>
    <row r="91" spans="3:10" s="53" customFormat="1" ht="15">
      <c r="C91" s="52"/>
      <c r="J91" s="49"/>
    </row>
    <row r="92" spans="3:10" s="53" customFormat="1" ht="15">
      <c r="C92" s="52"/>
      <c r="J92" s="49"/>
    </row>
    <row r="93" spans="3:10" s="53" customFormat="1" ht="15">
      <c r="C93" s="52"/>
      <c r="J93" s="49"/>
    </row>
    <row r="94" spans="3:10" s="53" customFormat="1" ht="15">
      <c r="C94" s="52"/>
      <c r="J94" s="49"/>
    </row>
    <row r="95" spans="3:10" s="53" customFormat="1" ht="15">
      <c r="C95" s="52"/>
      <c r="J95" s="49"/>
    </row>
    <row r="96" spans="1:10" s="53" customFormat="1" ht="15">
      <c r="A96" s="53" t="s">
        <v>149</v>
      </c>
      <c r="B96" s="84" t="s">
        <v>150</v>
      </c>
      <c r="C96" s="52"/>
      <c r="J96" s="49"/>
    </row>
    <row r="97" spans="1:10" s="53" customFormat="1" ht="15">
      <c r="A97" s="53" t="s">
        <v>128</v>
      </c>
      <c r="B97" s="84" t="s">
        <v>119</v>
      </c>
      <c r="C97" s="52"/>
      <c r="J97" s="49"/>
    </row>
    <row r="98" spans="1:10" s="53" customFormat="1" ht="15">
      <c r="A98" s="53" t="s">
        <v>150</v>
      </c>
      <c r="B98" s="84" t="s">
        <v>66</v>
      </c>
      <c r="C98" s="52"/>
      <c r="J98" s="49"/>
    </row>
    <row r="99" spans="2:10" s="53" customFormat="1" ht="15">
      <c r="B99" s="84"/>
      <c r="C99" s="52"/>
      <c r="J99" s="49"/>
    </row>
    <row r="100" spans="1:16" s="53" customFormat="1" ht="15">
      <c r="A100" s="53" t="s">
        <v>151</v>
      </c>
      <c r="B100" s="84" t="s">
        <v>150</v>
      </c>
      <c r="C100" s="52"/>
      <c r="F100" s="65"/>
      <c r="G100" s="65"/>
      <c r="H100" s="65"/>
      <c r="I100" s="65"/>
      <c r="J100" s="66"/>
      <c r="K100" s="65"/>
      <c r="L100" s="65"/>
      <c r="M100" s="65"/>
      <c r="N100" s="65"/>
      <c r="O100" s="65"/>
      <c r="P100" s="65"/>
    </row>
    <row r="101" spans="1:16" s="53" customFormat="1" ht="15">
      <c r="A101" s="53" t="s">
        <v>128</v>
      </c>
      <c r="B101" s="84" t="s">
        <v>119</v>
      </c>
      <c r="C101" s="52"/>
      <c r="F101" s="65" t="s">
        <v>121</v>
      </c>
      <c r="G101" s="65" t="s">
        <v>119</v>
      </c>
      <c r="H101" s="65"/>
      <c r="I101" s="66"/>
      <c r="J101" s="66"/>
      <c r="K101" s="66"/>
      <c r="L101" s="66"/>
      <c r="M101" s="66"/>
      <c r="N101" s="66"/>
      <c r="O101" s="66"/>
      <c r="P101" s="66"/>
    </row>
    <row r="102" spans="1:16" s="53" customFormat="1" ht="15">
      <c r="A102" s="53" t="s">
        <v>150</v>
      </c>
      <c r="B102" s="84" t="s">
        <v>66</v>
      </c>
      <c r="C102" s="52"/>
      <c r="F102" s="65"/>
      <c r="G102" s="65"/>
      <c r="H102" s="65"/>
      <c r="I102" s="66">
        <v>0</v>
      </c>
      <c r="J102" s="66">
        <v>83</v>
      </c>
      <c r="K102" s="66">
        <v>0</v>
      </c>
      <c r="L102" s="66">
        <v>0</v>
      </c>
      <c r="M102" s="66">
        <v>0</v>
      </c>
      <c r="N102" s="66">
        <v>0</v>
      </c>
      <c r="O102" s="66">
        <f>VLOOKUP(G107,M102:N108,2)</f>
        <v>0.15</v>
      </c>
      <c r="P102" s="66">
        <f>IF(O102=0,0,IF(O102=0.1,0,IF(O102=0.15,33.4,IF(O102=0.25,187.15,IF(O102=0.28,670.9,IF(O102=0.33,1672.46,IF(O102=0.35,4333.91)))))))</f>
        <v>33.4</v>
      </c>
    </row>
    <row r="103" spans="1:16" s="53" customFormat="1" ht="15">
      <c r="A103" s="53" t="s">
        <v>152</v>
      </c>
      <c r="B103" s="84" t="s">
        <v>133</v>
      </c>
      <c r="C103" s="52"/>
      <c r="F103" s="65" t="s">
        <v>0</v>
      </c>
      <c r="G103" s="66">
        <f>IF(B5=998,0,IF(B5&lt;&gt;998,J5))</f>
        <v>1383.46</v>
      </c>
      <c r="H103" s="65"/>
      <c r="I103" s="66">
        <v>83</v>
      </c>
      <c r="J103" s="66">
        <v>417</v>
      </c>
      <c r="K103" s="66">
        <v>0</v>
      </c>
      <c r="L103" s="66">
        <v>0.1</v>
      </c>
      <c r="M103" s="66">
        <v>83</v>
      </c>
      <c r="N103" s="66">
        <v>0.1</v>
      </c>
      <c r="O103" s="66"/>
      <c r="P103" s="66"/>
    </row>
    <row r="104" spans="2:16" s="53" customFormat="1" ht="15">
      <c r="B104" s="84"/>
      <c r="C104" s="52"/>
      <c r="F104" s="65" t="s">
        <v>122</v>
      </c>
      <c r="G104" s="67">
        <f>IF(B5&lt;997,B5,IF(B5=998,0))</f>
        <v>2</v>
      </c>
      <c r="H104" s="65"/>
      <c r="I104" s="66">
        <v>417</v>
      </c>
      <c r="J104" s="66">
        <v>1442</v>
      </c>
      <c r="K104" s="66">
        <v>33.4</v>
      </c>
      <c r="L104" s="66">
        <v>0.15</v>
      </c>
      <c r="M104" s="66">
        <v>417</v>
      </c>
      <c r="N104" s="66">
        <v>0.15</v>
      </c>
      <c r="O104" s="66"/>
      <c r="P104" s="66"/>
    </row>
    <row r="105" spans="1:16" s="53" customFormat="1" ht="15">
      <c r="A105" s="49"/>
      <c r="B105" s="84"/>
      <c r="F105" s="65" t="s">
        <v>123</v>
      </c>
      <c r="G105" s="65">
        <v>146.15</v>
      </c>
      <c r="H105" s="65"/>
      <c r="I105" s="66">
        <v>1442</v>
      </c>
      <c r="J105" s="66">
        <v>3377</v>
      </c>
      <c r="K105" s="66">
        <v>187.15</v>
      </c>
      <c r="L105" s="66">
        <v>0.25</v>
      </c>
      <c r="M105" s="66">
        <v>1442</v>
      </c>
      <c r="N105" s="66">
        <v>0.25</v>
      </c>
      <c r="O105" s="66"/>
      <c r="P105" s="66"/>
    </row>
    <row r="106" spans="1:16" s="53" customFormat="1" ht="15">
      <c r="A106" s="49" t="s">
        <v>155</v>
      </c>
      <c r="B106" s="84"/>
      <c r="F106" s="68" t="s">
        <v>124</v>
      </c>
      <c r="G106" s="69">
        <f>G104*G105</f>
        <v>292.3</v>
      </c>
      <c r="H106" s="65"/>
      <c r="I106" s="66">
        <v>3377</v>
      </c>
      <c r="J106" s="66">
        <v>6954</v>
      </c>
      <c r="K106" s="66">
        <v>670.9</v>
      </c>
      <c r="L106" s="66">
        <v>0.28</v>
      </c>
      <c r="M106" s="66">
        <v>3377</v>
      </c>
      <c r="N106" s="66">
        <v>0.28</v>
      </c>
      <c r="O106" s="66"/>
      <c r="P106" s="66"/>
    </row>
    <row r="107" spans="1:16" s="53" customFormat="1" ht="15">
      <c r="A107" s="49" t="s">
        <v>4</v>
      </c>
      <c r="B107" s="85" t="s">
        <v>156</v>
      </c>
      <c r="F107" s="70" t="s">
        <v>126</v>
      </c>
      <c r="G107" s="66">
        <f>IF(G106&gt;G103,0,IF(G106&lt;G103,G103-G106))</f>
        <v>1091.16</v>
      </c>
      <c r="H107" s="65"/>
      <c r="I107" s="66">
        <v>6954</v>
      </c>
      <c r="J107" s="66">
        <v>15019</v>
      </c>
      <c r="K107" s="66">
        <v>1672.46</v>
      </c>
      <c r="L107" s="66">
        <v>0.33</v>
      </c>
      <c r="M107" s="66">
        <v>6954</v>
      </c>
      <c r="N107" s="66">
        <v>0.33</v>
      </c>
      <c r="O107" s="66"/>
      <c r="P107" s="66"/>
    </row>
    <row r="108" spans="1:16" s="53" customFormat="1" ht="15">
      <c r="A108" s="49" t="s">
        <v>6</v>
      </c>
      <c r="B108" s="85" t="s">
        <v>156</v>
      </c>
      <c r="F108" s="65"/>
      <c r="G108" s="65"/>
      <c r="H108" s="65"/>
      <c r="I108" s="66">
        <v>15019</v>
      </c>
      <c r="J108" s="66" t="s">
        <v>120</v>
      </c>
      <c r="K108" s="66">
        <v>4333.91</v>
      </c>
      <c r="L108" s="66">
        <v>0.35</v>
      </c>
      <c r="M108" s="66">
        <v>15019</v>
      </c>
      <c r="N108" s="66">
        <v>0.35</v>
      </c>
      <c r="O108" s="66"/>
      <c r="P108" s="66"/>
    </row>
    <row r="109" spans="1:16" s="53" customFormat="1" ht="15">
      <c r="A109" s="49" t="s">
        <v>146</v>
      </c>
      <c r="B109" s="85" t="s">
        <v>156</v>
      </c>
      <c r="F109" s="65"/>
      <c r="G109" s="66">
        <f>VLOOKUP(O102,L102:M108,2)</f>
        <v>417</v>
      </c>
      <c r="H109" s="65"/>
      <c r="I109" s="66"/>
      <c r="J109" s="66"/>
      <c r="K109" s="66"/>
      <c r="L109" s="66"/>
      <c r="M109" s="66"/>
      <c r="N109" s="66"/>
      <c r="O109" s="66"/>
      <c r="P109" s="66"/>
    </row>
    <row r="110" spans="1:16" s="53" customFormat="1" ht="15">
      <c r="A110" s="49"/>
      <c r="B110" s="84"/>
      <c r="F110" s="65"/>
      <c r="G110" s="65"/>
      <c r="H110" s="65"/>
      <c r="I110" s="66"/>
      <c r="J110" s="66"/>
      <c r="K110" s="66"/>
      <c r="L110" s="66"/>
      <c r="M110" s="66"/>
      <c r="N110" s="66"/>
      <c r="O110" s="66"/>
      <c r="P110" s="66"/>
    </row>
    <row r="111" spans="1:16" s="53" customFormat="1" ht="15">
      <c r="A111" s="49"/>
      <c r="F111" s="66" t="s">
        <v>125</v>
      </c>
      <c r="G111" s="66" t="s">
        <v>66</v>
      </c>
      <c r="H111" s="66"/>
      <c r="I111" s="66">
        <v>0</v>
      </c>
      <c r="J111" s="66">
        <v>312</v>
      </c>
      <c r="K111" s="66">
        <v>0</v>
      </c>
      <c r="L111" s="66">
        <v>0</v>
      </c>
      <c r="M111" s="66">
        <v>0</v>
      </c>
      <c r="N111" s="66">
        <v>0</v>
      </c>
      <c r="O111" s="66">
        <f>VLOOKUP(G107,M111:N117,2)</f>
        <v>0.15</v>
      </c>
      <c r="P111" s="66">
        <f>IF(O111=0,0,IF(O111=0.1,0,IF(O111=0.15,66.9,IF(O111=0.25,374.4,IF(O111=0.28,1066.65,IF(O111=0.33,1871.65,IF(O111=0.35,4040.74)))))))</f>
        <v>66.9</v>
      </c>
    </row>
    <row r="112" spans="1:16" s="53" customFormat="1" ht="15">
      <c r="A112" s="49"/>
      <c r="B112" s="49"/>
      <c r="C112" s="49"/>
      <c r="D112" s="49"/>
      <c r="F112" s="66"/>
      <c r="G112" s="66"/>
      <c r="H112" s="66"/>
      <c r="I112" s="66">
        <v>312</v>
      </c>
      <c r="J112" s="66">
        <v>981</v>
      </c>
      <c r="K112" s="66">
        <v>0</v>
      </c>
      <c r="L112" s="66">
        <v>0.1</v>
      </c>
      <c r="M112" s="66">
        <v>312</v>
      </c>
      <c r="N112" s="66">
        <v>0.1</v>
      </c>
      <c r="O112" s="66"/>
      <c r="P112" s="66"/>
    </row>
    <row r="113" spans="1:16" s="53" customFormat="1" ht="15">
      <c r="A113" s="49"/>
      <c r="B113" s="49"/>
      <c r="C113" s="49"/>
      <c r="D113" s="49"/>
      <c r="F113" s="70"/>
      <c r="G113" s="71"/>
      <c r="H113" s="65"/>
      <c r="I113" s="66">
        <v>981</v>
      </c>
      <c r="J113" s="66">
        <v>3031</v>
      </c>
      <c r="K113" s="66">
        <v>66.9</v>
      </c>
      <c r="L113" s="66">
        <v>0.15</v>
      </c>
      <c r="M113" s="66">
        <v>981</v>
      </c>
      <c r="N113" s="66">
        <v>0.15</v>
      </c>
      <c r="O113" s="66"/>
      <c r="P113" s="66"/>
    </row>
    <row r="114" spans="1:16" s="53" customFormat="1" ht="15">
      <c r="A114" s="45" t="s">
        <v>16</v>
      </c>
      <c r="B114" s="89">
        <v>123</v>
      </c>
      <c r="C114" s="49"/>
      <c r="D114" s="49"/>
      <c r="F114" s="70"/>
      <c r="G114" s="72"/>
      <c r="H114" s="65"/>
      <c r="I114" s="66">
        <v>3031</v>
      </c>
      <c r="J114" s="66">
        <v>5800</v>
      </c>
      <c r="K114" s="66">
        <v>374.4</v>
      </c>
      <c r="L114" s="66">
        <v>0.25</v>
      </c>
      <c r="M114" s="66">
        <v>3031</v>
      </c>
      <c r="N114" s="66">
        <v>0.25</v>
      </c>
      <c r="O114" s="66"/>
      <c r="P114" s="66"/>
    </row>
    <row r="115" spans="1:16" s="53" customFormat="1" ht="15">
      <c r="A115" s="45" t="s">
        <v>14</v>
      </c>
      <c r="B115" s="89">
        <v>100</v>
      </c>
      <c r="C115" s="49"/>
      <c r="D115" s="49"/>
      <c r="F115" s="70"/>
      <c r="G115" s="70"/>
      <c r="H115" s="65"/>
      <c r="I115" s="66">
        <v>5800</v>
      </c>
      <c r="J115" s="66">
        <v>8675</v>
      </c>
      <c r="K115" s="66">
        <v>1066.65</v>
      </c>
      <c r="L115" s="66">
        <v>0.28</v>
      </c>
      <c r="M115" s="66">
        <v>5800</v>
      </c>
      <c r="N115" s="66">
        <v>0.28</v>
      </c>
      <c r="O115" s="66"/>
      <c r="P115" s="66"/>
    </row>
    <row r="116" spans="1:16" s="53" customFormat="1" ht="15">
      <c r="A116" s="45" t="s">
        <v>12</v>
      </c>
      <c r="B116" s="89"/>
      <c r="C116" s="49"/>
      <c r="D116" s="49"/>
      <c r="F116" s="70"/>
      <c r="G116" s="71">
        <f>VLOOKUP(O111,L111:M117,2)</f>
        <v>981</v>
      </c>
      <c r="H116" s="65"/>
      <c r="I116" s="66">
        <v>8675</v>
      </c>
      <c r="J116" s="66">
        <v>15248</v>
      </c>
      <c r="K116" s="66">
        <v>1871.65</v>
      </c>
      <c r="L116" s="66">
        <v>0.33</v>
      </c>
      <c r="M116" s="66">
        <v>8675</v>
      </c>
      <c r="N116" s="66">
        <v>0.33</v>
      </c>
      <c r="O116" s="66"/>
      <c r="P116" s="66"/>
    </row>
    <row r="117" spans="1:16" s="53" customFormat="1" ht="15">
      <c r="A117" s="45" t="s">
        <v>33</v>
      </c>
      <c r="B117" s="89"/>
      <c r="C117" s="49"/>
      <c r="D117" s="49"/>
      <c r="F117" s="70"/>
      <c r="G117" s="71"/>
      <c r="H117" s="65"/>
      <c r="I117" s="66">
        <v>15248</v>
      </c>
      <c r="J117" s="66" t="s">
        <v>120</v>
      </c>
      <c r="K117" s="66">
        <v>4040.74</v>
      </c>
      <c r="L117" s="66">
        <v>0.35</v>
      </c>
      <c r="M117" s="66">
        <v>15248</v>
      </c>
      <c r="N117" s="66">
        <v>0.35</v>
      </c>
      <c r="O117" s="66"/>
      <c r="P117" s="66"/>
    </row>
    <row r="118" spans="1:16" s="53" customFormat="1" ht="15">
      <c r="A118" s="45" t="s">
        <v>34</v>
      </c>
      <c r="B118" s="89"/>
      <c r="C118" s="49"/>
      <c r="D118" s="49"/>
      <c r="F118" s="70"/>
      <c r="G118" s="70"/>
      <c r="H118" s="65"/>
      <c r="I118" s="65"/>
      <c r="J118" s="66"/>
      <c r="K118" s="66"/>
      <c r="L118" s="66"/>
      <c r="M118" s="66"/>
      <c r="N118" s="66"/>
      <c r="O118" s="66"/>
      <c r="P118" s="66"/>
    </row>
    <row r="119" spans="1:16" s="53" customFormat="1" ht="15">
      <c r="A119" s="45" t="s">
        <v>35</v>
      </c>
      <c r="B119" s="89"/>
      <c r="C119" s="52"/>
      <c r="F119" s="66">
        <f>G107</f>
        <v>1091.16</v>
      </c>
      <c r="G119" s="66">
        <f>IF(B4="S",G109,IF(B4="M",G116))</f>
        <v>981</v>
      </c>
      <c r="H119" s="66"/>
      <c r="I119" s="66"/>
      <c r="J119" s="66"/>
      <c r="K119" s="66"/>
      <c r="L119" s="66"/>
      <c r="M119" s="66"/>
      <c r="N119" s="66"/>
      <c r="O119" s="66"/>
      <c r="P119" s="66"/>
    </row>
    <row r="120" spans="1:16" s="53" customFormat="1" ht="15">
      <c r="A120" s="45" t="s">
        <v>36</v>
      </c>
      <c r="B120" s="89"/>
      <c r="C120" s="52"/>
      <c r="F120" s="66"/>
      <c r="G120" s="66">
        <f>F119-G119</f>
        <v>110.16000000000008</v>
      </c>
      <c r="H120" s="66"/>
      <c r="I120" s="66"/>
      <c r="J120" s="66"/>
      <c r="K120" s="65"/>
      <c r="L120" s="65"/>
      <c r="M120" s="65"/>
      <c r="N120" s="65"/>
      <c r="O120" s="65"/>
      <c r="P120" s="65"/>
    </row>
    <row r="121" spans="1:16" s="53" customFormat="1" ht="15">
      <c r="A121" s="45" t="s">
        <v>8</v>
      </c>
      <c r="B121" s="89"/>
      <c r="C121" s="52"/>
      <c r="F121" s="66"/>
      <c r="G121" s="66">
        <f>IF(B4="S",O102,IF(B4="M",O111))</f>
        <v>0.15</v>
      </c>
      <c r="H121" s="66"/>
      <c r="I121" s="66"/>
      <c r="J121" s="66"/>
      <c r="K121" s="65"/>
      <c r="L121" s="65"/>
      <c r="M121" s="65"/>
      <c r="N121" s="65"/>
      <c r="O121" s="65"/>
      <c r="P121" s="65"/>
    </row>
    <row r="122" spans="1:16" s="53" customFormat="1" ht="15">
      <c r="A122" s="45" t="s">
        <v>5</v>
      </c>
      <c r="B122" s="89">
        <v>68</v>
      </c>
      <c r="C122" s="52"/>
      <c r="F122" s="66"/>
      <c r="G122" s="66">
        <f>IF(B4="S",P102,IF(B4="M",P111))</f>
        <v>66.9</v>
      </c>
      <c r="H122" s="66"/>
      <c r="I122" s="66"/>
      <c r="J122" s="66"/>
      <c r="K122" s="65"/>
      <c r="L122" s="65"/>
      <c r="M122" s="65"/>
      <c r="N122" s="65"/>
      <c r="O122" s="65"/>
      <c r="P122" s="65"/>
    </row>
    <row r="123" spans="1:16" s="53" customFormat="1" ht="15">
      <c r="A123" s="45" t="s">
        <v>148</v>
      </c>
      <c r="B123" s="89"/>
      <c r="C123" s="52"/>
      <c r="F123" s="66"/>
      <c r="G123" s="66">
        <f>G120*G121</f>
        <v>16.52400000000001</v>
      </c>
      <c r="H123" s="66"/>
      <c r="I123" s="66"/>
      <c r="J123" s="66"/>
      <c r="K123" s="65"/>
      <c r="L123" s="65"/>
      <c r="M123" s="65"/>
      <c r="N123" s="65"/>
      <c r="O123" s="65"/>
      <c r="P123" s="65"/>
    </row>
    <row r="124" spans="3:16" s="53" customFormat="1" ht="15.75" thickBot="1">
      <c r="C124" s="52"/>
      <c r="D124" s="53">
        <f>G120*G121</f>
        <v>16.52400000000001</v>
      </c>
      <c r="F124" s="66"/>
      <c r="G124" s="73">
        <f>IF(B5=998,0,IF(B5&lt;&gt;998,G122+G123))</f>
        <v>83.42400000000002</v>
      </c>
      <c r="H124" s="65"/>
      <c r="I124" s="66"/>
      <c r="J124" s="66"/>
      <c r="K124" s="65"/>
      <c r="L124" s="65"/>
      <c r="M124" s="65"/>
      <c r="N124" s="65"/>
      <c r="O124" s="65"/>
      <c r="P124" s="65"/>
    </row>
    <row r="125" spans="3:10" s="53" customFormat="1" ht="15.75" thickTop="1">
      <c r="C125" s="52"/>
      <c r="F125" s="74"/>
      <c r="G125" s="74"/>
      <c r="H125" s="49"/>
      <c r="J125" s="49"/>
    </row>
    <row r="126" spans="3:10" s="53" customFormat="1" ht="15">
      <c r="C126" s="52"/>
      <c r="F126" s="49"/>
      <c r="G126" s="49"/>
      <c r="H126" s="49"/>
      <c r="I126" s="49"/>
      <c r="J126" s="49"/>
    </row>
    <row r="127" spans="3:16" s="53" customFormat="1" ht="15">
      <c r="C127" s="52"/>
      <c r="F127" s="75"/>
      <c r="G127" s="75"/>
      <c r="H127" s="75"/>
      <c r="I127" s="177" t="s">
        <v>89</v>
      </c>
      <c r="J127" s="177"/>
      <c r="K127" s="76"/>
      <c r="L127" s="76"/>
      <c r="M127" s="178" t="s">
        <v>91</v>
      </c>
      <c r="N127" s="178"/>
      <c r="O127" s="76"/>
      <c r="P127" s="76"/>
    </row>
    <row r="128" spans="3:16" s="53" customFormat="1" ht="15">
      <c r="C128" s="52"/>
      <c r="F128" s="76" t="s">
        <v>83</v>
      </c>
      <c r="G128" s="75">
        <f>J4</f>
        <v>1383.46</v>
      </c>
      <c r="H128" s="76"/>
      <c r="I128" s="76" t="s">
        <v>128</v>
      </c>
      <c r="J128" s="75">
        <v>482</v>
      </c>
      <c r="K128" s="76"/>
      <c r="L128" s="76"/>
      <c r="M128" s="77">
        <v>0</v>
      </c>
      <c r="N128" s="78">
        <v>0</v>
      </c>
      <c r="O128" s="76"/>
      <c r="P128" s="76"/>
    </row>
    <row r="129" spans="3:16" s="53" customFormat="1" ht="15">
      <c r="C129" s="52"/>
      <c r="F129" s="76" t="s">
        <v>134</v>
      </c>
      <c r="G129" s="79">
        <f>VLOOKUP(B8,I135:J146,2)</f>
        <v>0</v>
      </c>
      <c r="H129" s="76"/>
      <c r="I129" s="76" t="s">
        <v>129</v>
      </c>
      <c r="J129" s="75">
        <v>482</v>
      </c>
      <c r="K129" s="76"/>
      <c r="L129" s="76"/>
      <c r="M129" s="76" t="s">
        <v>128</v>
      </c>
      <c r="N129" s="75">
        <v>145</v>
      </c>
      <c r="O129" s="76"/>
      <c r="P129" s="76"/>
    </row>
    <row r="130" spans="3:16" s="53" customFormat="1" ht="15">
      <c r="C130" s="52"/>
      <c r="F130" s="76" t="s">
        <v>135</v>
      </c>
      <c r="G130" s="75">
        <f>G128-G129</f>
        <v>1383.46</v>
      </c>
      <c r="H130" s="76"/>
      <c r="I130" s="76" t="s">
        <v>130</v>
      </c>
      <c r="J130" s="75">
        <v>964</v>
      </c>
      <c r="K130" s="76"/>
      <c r="L130" s="76"/>
      <c r="M130" s="76" t="s">
        <v>129</v>
      </c>
      <c r="N130" s="75">
        <v>145</v>
      </c>
      <c r="O130" s="76"/>
      <c r="P130" s="76"/>
    </row>
    <row r="131" spans="3:16" s="53" customFormat="1" ht="15">
      <c r="C131" s="52"/>
      <c r="F131" s="76" t="s">
        <v>91</v>
      </c>
      <c r="G131" s="75">
        <f>IF(B7=998,0,IF(AND(B6="M",B7&gt;=2),N131,IF(AND(B6="M",B7&lt;=1),N130,IF(B6="S",N129,IF(B6="H",N132)))))</f>
        <v>290</v>
      </c>
      <c r="H131" s="76"/>
      <c r="I131" s="76" t="s">
        <v>131</v>
      </c>
      <c r="J131" s="75">
        <v>964</v>
      </c>
      <c r="K131" s="76"/>
      <c r="L131" s="76"/>
      <c r="M131" s="76" t="s">
        <v>130</v>
      </c>
      <c r="N131" s="75">
        <v>290</v>
      </c>
      <c r="O131" s="76"/>
      <c r="P131" s="76"/>
    </row>
    <row r="132" spans="3:16" s="53" customFormat="1" ht="15">
      <c r="C132" s="52"/>
      <c r="F132" s="76" t="s">
        <v>136</v>
      </c>
      <c r="G132" s="75">
        <f>IF(B7=998,0,IF(B7&lt;&gt;998,G130-G131))</f>
        <v>1093.46</v>
      </c>
      <c r="H132" s="76"/>
      <c r="I132" s="76"/>
      <c r="J132" s="75"/>
      <c r="K132" s="76"/>
      <c r="L132" s="76"/>
      <c r="M132" s="76" t="s">
        <v>131</v>
      </c>
      <c r="N132" s="75">
        <v>290</v>
      </c>
      <c r="O132" s="76"/>
      <c r="P132" s="76"/>
    </row>
    <row r="133" spans="3:16" s="53" customFormat="1" ht="15">
      <c r="C133" s="52"/>
      <c r="F133" s="76" t="s">
        <v>137</v>
      </c>
      <c r="G133" s="75">
        <f>IF(B6="S",N150,IF(B6="M",N159,IF(B6="H",N168)))</f>
        <v>564</v>
      </c>
      <c r="H133" s="76"/>
      <c r="I133" s="76"/>
      <c r="J133" s="75"/>
      <c r="K133" s="76"/>
      <c r="L133" s="76"/>
      <c r="M133" s="76"/>
      <c r="N133" s="76"/>
      <c r="O133" s="76"/>
      <c r="P133" s="76"/>
    </row>
    <row r="134" spans="3:16" s="53" customFormat="1" ht="15">
      <c r="C134" s="52"/>
      <c r="F134" s="76" t="s">
        <v>138</v>
      </c>
      <c r="G134" s="75">
        <f>G132-G133</f>
        <v>529.46</v>
      </c>
      <c r="H134" s="76"/>
      <c r="I134" s="178" t="s">
        <v>90</v>
      </c>
      <c r="J134" s="178"/>
      <c r="K134" s="76"/>
      <c r="L134" s="76"/>
      <c r="M134" s="76"/>
      <c r="N134" s="76"/>
      <c r="O134" s="76"/>
      <c r="P134" s="76"/>
    </row>
    <row r="135" spans="3:16" s="53" customFormat="1" ht="15">
      <c r="C135" s="52"/>
      <c r="F135" s="76" t="s">
        <v>139</v>
      </c>
      <c r="G135" s="80">
        <f>IF(B6="S",O150,IF(B6="M",O159,IF(B6="H",O168)))</f>
        <v>0.022</v>
      </c>
      <c r="H135" s="76"/>
      <c r="I135" s="77">
        <v>0</v>
      </c>
      <c r="J135" s="78">
        <v>0</v>
      </c>
      <c r="K135" s="75"/>
      <c r="L135" s="75"/>
      <c r="M135" s="178" t="s">
        <v>92</v>
      </c>
      <c r="N135" s="178"/>
      <c r="O135" s="76"/>
      <c r="P135" s="76"/>
    </row>
    <row r="136" spans="3:16" s="53" customFormat="1" ht="15">
      <c r="C136" s="52"/>
      <c r="F136" s="76" t="s">
        <v>140</v>
      </c>
      <c r="G136" s="75">
        <f>ROUND(G134*G135,2)</f>
        <v>11.65</v>
      </c>
      <c r="H136" s="76"/>
      <c r="I136" s="81">
        <v>1</v>
      </c>
      <c r="J136" s="75">
        <v>38</v>
      </c>
      <c r="K136" s="76"/>
      <c r="L136" s="76"/>
      <c r="M136" s="78">
        <v>0</v>
      </c>
      <c r="N136" s="78">
        <v>0</v>
      </c>
      <c r="O136" s="76"/>
      <c r="P136" s="76"/>
    </row>
    <row r="137" spans="3:16" s="53" customFormat="1" ht="15">
      <c r="C137" s="52"/>
      <c r="F137" s="76" t="s">
        <v>141</v>
      </c>
      <c r="G137" s="75">
        <f>IF(B6="S",P150,IF(B6="M",P159,IF(B6="H",P168)))</f>
        <v>6.2</v>
      </c>
      <c r="H137" s="76"/>
      <c r="I137" s="81">
        <v>2</v>
      </c>
      <c r="J137" s="75">
        <v>77</v>
      </c>
      <c r="K137" s="76"/>
      <c r="L137" s="76"/>
      <c r="M137" s="76">
        <v>1</v>
      </c>
      <c r="N137" s="75">
        <v>4.32</v>
      </c>
      <c r="O137" s="76"/>
      <c r="P137" s="76"/>
    </row>
    <row r="138" spans="3:16" s="53" customFormat="1" ht="15">
      <c r="C138" s="52"/>
      <c r="F138" s="76" t="s">
        <v>142</v>
      </c>
      <c r="G138" s="75">
        <f>G136+G137</f>
        <v>17.85</v>
      </c>
      <c r="H138" s="76"/>
      <c r="I138" s="81">
        <v>3</v>
      </c>
      <c r="J138" s="75">
        <v>115</v>
      </c>
      <c r="K138" s="76"/>
      <c r="L138" s="76"/>
      <c r="M138" s="76">
        <v>2</v>
      </c>
      <c r="N138" s="75">
        <v>8.63</v>
      </c>
      <c r="O138" s="76"/>
      <c r="P138" s="76"/>
    </row>
    <row r="139" spans="3:16" s="53" customFormat="1" ht="15">
      <c r="C139" s="52"/>
      <c r="F139" s="76" t="s">
        <v>122</v>
      </c>
      <c r="G139" s="75">
        <f>VLOOKUP(B7,M136:N147,2)</f>
        <v>8.63</v>
      </c>
      <c r="H139" s="76"/>
      <c r="I139" s="81">
        <v>4</v>
      </c>
      <c r="J139" s="75">
        <v>154</v>
      </c>
      <c r="K139" s="76"/>
      <c r="L139" s="76"/>
      <c r="M139" s="76">
        <v>3</v>
      </c>
      <c r="N139" s="75">
        <v>12.95</v>
      </c>
      <c r="O139" s="76"/>
      <c r="P139" s="76"/>
    </row>
    <row r="140" spans="3:16" s="53" customFormat="1" ht="15.75" thickBot="1">
      <c r="C140" s="52"/>
      <c r="F140" s="82" t="s">
        <v>143</v>
      </c>
      <c r="G140" s="83">
        <f>IF(B7=998,0,IF(B7&lt;&gt;998,G138-G139))</f>
        <v>9.22</v>
      </c>
      <c r="H140" s="76"/>
      <c r="I140" s="81">
        <v>5</v>
      </c>
      <c r="J140" s="75">
        <v>192</v>
      </c>
      <c r="K140" s="76"/>
      <c r="L140" s="76"/>
      <c r="M140" s="76">
        <v>4</v>
      </c>
      <c r="N140" s="75">
        <v>17.26</v>
      </c>
      <c r="O140" s="76"/>
      <c r="P140" s="76"/>
    </row>
    <row r="141" spans="3:16" s="53" customFormat="1" ht="15.75" thickTop="1">
      <c r="C141" s="52"/>
      <c r="F141" s="76"/>
      <c r="G141" s="76"/>
      <c r="H141" s="76"/>
      <c r="I141" s="81">
        <v>6</v>
      </c>
      <c r="J141" s="75">
        <v>231</v>
      </c>
      <c r="K141" s="76"/>
      <c r="L141" s="76"/>
      <c r="M141" s="76">
        <v>5</v>
      </c>
      <c r="N141" s="75">
        <v>21.58</v>
      </c>
      <c r="O141" s="76"/>
      <c r="P141" s="76"/>
    </row>
    <row r="142" spans="3:16" s="53" customFormat="1" ht="15">
      <c r="C142" s="52"/>
      <c r="F142" s="76"/>
      <c r="G142" s="76"/>
      <c r="H142" s="76"/>
      <c r="I142" s="81">
        <v>7</v>
      </c>
      <c r="J142" s="75">
        <v>269</v>
      </c>
      <c r="K142" s="76"/>
      <c r="L142" s="76"/>
      <c r="M142" s="76">
        <v>6</v>
      </c>
      <c r="N142" s="75">
        <v>25.89</v>
      </c>
      <c r="O142" s="76"/>
      <c r="P142" s="76"/>
    </row>
    <row r="143" spans="3:16" s="53" customFormat="1" ht="15">
      <c r="C143" s="52"/>
      <c r="F143" s="76"/>
      <c r="G143" s="76"/>
      <c r="H143" s="76"/>
      <c r="I143" s="81">
        <v>8</v>
      </c>
      <c r="J143" s="75">
        <v>308</v>
      </c>
      <c r="K143" s="76"/>
      <c r="L143" s="76"/>
      <c r="M143" s="76">
        <v>7</v>
      </c>
      <c r="N143" s="75">
        <v>30.21</v>
      </c>
      <c r="O143" s="76"/>
      <c r="P143" s="76"/>
    </row>
    <row r="144" spans="3:16" s="53" customFormat="1" ht="15">
      <c r="C144" s="52"/>
      <c r="F144" s="76"/>
      <c r="G144" s="76"/>
      <c r="H144" s="76"/>
      <c r="I144" s="81">
        <v>9</v>
      </c>
      <c r="J144" s="75">
        <v>346</v>
      </c>
      <c r="K144" s="76"/>
      <c r="L144" s="76"/>
      <c r="M144" s="76">
        <v>8</v>
      </c>
      <c r="N144" s="75">
        <v>34.52</v>
      </c>
      <c r="O144" s="76"/>
      <c r="P144" s="76"/>
    </row>
    <row r="145" spans="3:16" s="53" customFormat="1" ht="15">
      <c r="C145" s="52"/>
      <c r="F145" s="76"/>
      <c r="G145" s="76"/>
      <c r="H145" s="76"/>
      <c r="I145" s="81">
        <v>10</v>
      </c>
      <c r="J145" s="75">
        <v>385</v>
      </c>
      <c r="K145" s="76"/>
      <c r="L145" s="76"/>
      <c r="M145" s="76">
        <v>9</v>
      </c>
      <c r="N145" s="75">
        <v>38.84</v>
      </c>
      <c r="O145" s="76"/>
      <c r="P145" s="76"/>
    </row>
    <row r="146" spans="3:16" s="53" customFormat="1" ht="15">
      <c r="C146" s="52"/>
      <c r="F146" s="76"/>
      <c r="G146" s="76"/>
      <c r="H146" s="76"/>
      <c r="I146" s="81" t="s">
        <v>132</v>
      </c>
      <c r="J146" s="75"/>
      <c r="K146" s="76"/>
      <c r="L146" s="76"/>
      <c r="M146" s="76">
        <v>10</v>
      </c>
      <c r="N146" s="75">
        <v>43.15</v>
      </c>
      <c r="O146" s="76"/>
      <c r="P146" s="76"/>
    </row>
    <row r="147" spans="3:16" s="53" customFormat="1" ht="15">
      <c r="C147" s="52"/>
      <c r="F147" s="76"/>
      <c r="G147" s="76"/>
      <c r="H147" s="76"/>
      <c r="I147" s="76"/>
      <c r="J147" s="75"/>
      <c r="K147" s="76"/>
      <c r="L147" s="76"/>
      <c r="M147" s="76">
        <v>11</v>
      </c>
      <c r="N147" s="75"/>
      <c r="O147" s="76"/>
      <c r="P147" s="76"/>
    </row>
    <row r="148" spans="3:16" s="53" customFormat="1" ht="15">
      <c r="C148" s="52"/>
      <c r="F148" s="76"/>
      <c r="G148" s="76"/>
      <c r="H148" s="76"/>
      <c r="I148" s="76"/>
      <c r="J148" s="75"/>
      <c r="K148" s="76"/>
      <c r="L148" s="76"/>
      <c r="M148" s="76"/>
      <c r="N148" s="76"/>
      <c r="O148" s="76"/>
      <c r="P148" s="76"/>
    </row>
    <row r="149" spans="3:16" s="53" customFormat="1" ht="15">
      <c r="C149" s="52"/>
      <c r="F149" s="76"/>
      <c r="G149" s="76"/>
      <c r="H149" s="76" t="s">
        <v>119</v>
      </c>
      <c r="I149" s="178" t="s">
        <v>93</v>
      </c>
      <c r="J149" s="178"/>
      <c r="K149" s="76"/>
      <c r="L149" s="76"/>
      <c r="M149" s="76"/>
      <c r="N149" s="76"/>
      <c r="O149" s="76"/>
      <c r="P149" s="76"/>
    </row>
    <row r="150" spans="3:16" s="53" customFormat="1" ht="15">
      <c r="C150" s="52"/>
      <c r="F150" s="76"/>
      <c r="G150" s="76"/>
      <c r="H150" s="76"/>
      <c r="I150" s="76">
        <v>0</v>
      </c>
      <c r="J150" s="75">
        <v>282</v>
      </c>
      <c r="K150" s="75">
        <v>0</v>
      </c>
      <c r="L150" s="80">
        <v>0.011</v>
      </c>
      <c r="M150" s="76">
        <v>0</v>
      </c>
      <c r="N150" s="76" t="b">
        <f>IF(B6="S",VLOOKUP(G132,I150:J156,1))</f>
        <v>0</v>
      </c>
      <c r="O150" s="80" t="e">
        <f>VLOOKUP(N150,I150:M156,4)</f>
        <v>#N/A</v>
      </c>
      <c r="P150" s="75" t="e">
        <f>VLOOKUP(N150,I150:K156,3)</f>
        <v>#N/A</v>
      </c>
    </row>
    <row r="151" spans="3:16" s="53" customFormat="1" ht="15">
      <c r="C151" s="52"/>
      <c r="F151" s="76"/>
      <c r="G151" s="76"/>
      <c r="H151" s="76"/>
      <c r="I151" s="76">
        <v>282</v>
      </c>
      <c r="J151" s="75">
        <v>668</v>
      </c>
      <c r="K151" s="75">
        <v>3.1</v>
      </c>
      <c r="L151" s="80">
        <v>0.022</v>
      </c>
      <c r="M151" s="76">
        <v>282</v>
      </c>
      <c r="N151" s="76"/>
      <c r="O151" s="76"/>
      <c r="P151" s="75"/>
    </row>
    <row r="152" spans="3:16" s="53" customFormat="1" ht="15">
      <c r="C152" s="52"/>
      <c r="F152" s="76"/>
      <c r="G152" s="76"/>
      <c r="H152" s="76"/>
      <c r="I152" s="76">
        <v>668</v>
      </c>
      <c r="J152" s="75">
        <v>1052</v>
      </c>
      <c r="K152" s="75">
        <v>11.59</v>
      </c>
      <c r="L152" s="80">
        <v>0.044</v>
      </c>
      <c r="M152" s="76">
        <v>668</v>
      </c>
      <c r="N152" s="76"/>
      <c r="O152" s="76"/>
      <c r="P152" s="75"/>
    </row>
    <row r="153" spans="3:16" s="53" customFormat="1" ht="15">
      <c r="C153" s="52"/>
      <c r="F153" s="76"/>
      <c r="G153" s="76"/>
      <c r="H153" s="76"/>
      <c r="I153" s="76">
        <v>1052</v>
      </c>
      <c r="J153" s="75">
        <v>1462</v>
      </c>
      <c r="K153" s="75">
        <v>28.49</v>
      </c>
      <c r="L153" s="80">
        <v>0.066</v>
      </c>
      <c r="M153" s="76">
        <v>1052</v>
      </c>
      <c r="N153" s="76"/>
      <c r="O153" s="76"/>
      <c r="P153" s="75"/>
    </row>
    <row r="154" spans="3:16" s="53" customFormat="1" ht="15">
      <c r="C154" s="52"/>
      <c r="F154" s="76"/>
      <c r="G154" s="76"/>
      <c r="H154" s="76"/>
      <c r="I154" s="76">
        <v>1462</v>
      </c>
      <c r="J154" s="75">
        <v>1848</v>
      </c>
      <c r="K154" s="75">
        <v>55.55</v>
      </c>
      <c r="L154" s="80">
        <v>0.088</v>
      </c>
      <c r="M154" s="76">
        <v>1462</v>
      </c>
      <c r="N154" s="76"/>
      <c r="O154" s="76"/>
      <c r="P154" s="75"/>
    </row>
    <row r="155" spans="3:16" s="53" customFormat="1" ht="15">
      <c r="C155" s="52"/>
      <c r="F155" s="76"/>
      <c r="G155" s="76"/>
      <c r="H155" s="76"/>
      <c r="I155" s="76">
        <v>1848</v>
      </c>
      <c r="J155" s="75">
        <v>38462</v>
      </c>
      <c r="K155" s="75">
        <v>89.52</v>
      </c>
      <c r="L155" s="80">
        <v>0.1023</v>
      </c>
      <c r="M155" s="76">
        <v>1848</v>
      </c>
      <c r="N155" s="76"/>
      <c r="O155" s="76"/>
      <c r="P155" s="75"/>
    </row>
    <row r="156" spans="3:16" s="53" customFormat="1" ht="15">
      <c r="C156" s="52"/>
      <c r="F156" s="76"/>
      <c r="G156" s="76"/>
      <c r="H156" s="76"/>
      <c r="I156" s="76">
        <v>38462</v>
      </c>
      <c r="J156" s="75">
        <v>38463</v>
      </c>
      <c r="K156" s="75">
        <v>3835.13</v>
      </c>
      <c r="L156" s="80">
        <v>0.1133</v>
      </c>
      <c r="M156" s="76">
        <v>38642</v>
      </c>
      <c r="N156" s="76"/>
      <c r="O156" s="76"/>
      <c r="P156" s="75"/>
    </row>
    <row r="157" spans="3:16" s="53" customFormat="1" ht="15">
      <c r="C157" s="52"/>
      <c r="F157" s="76"/>
      <c r="G157" s="76"/>
      <c r="H157" s="76"/>
      <c r="I157" s="76"/>
      <c r="J157" s="75"/>
      <c r="K157" s="76"/>
      <c r="L157" s="76"/>
      <c r="M157" s="76"/>
      <c r="N157" s="76"/>
      <c r="O157" s="76"/>
      <c r="P157" s="75"/>
    </row>
    <row r="158" spans="3:16" s="53" customFormat="1" ht="15">
      <c r="C158" s="52"/>
      <c r="F158" s="76"/>
      <c r="G158" s="76"/>
      <c r="H158" s="76" t="s">
        <v>66</v>
      </c>
      <c r="I158" s="76"/>
      <c r="J158" s="75"/>
      <c r="K158" s="75"/>
      <c r="L158" s="76"/>
      <c r="M158" s="76"/>
      <c r="N158" s="76"/>
      <c r="O158" s="76"/>
      <c r="P158" s="75"/>
    </row>
    <row r="159" spans="3:16" s="53" customFormat="1" ht="15">
      <c r="C159" s="52"/>
      <c r="F159" s="76"/>
      <c r="G159" s="76"/>
      <c r="H159" s="76"/>
      <c r="I159" s="76">
        <v>0</v>
      </c>
      <c r="J159" s="75">
        <v>564</v>
      </c>
      <c r="K159" s="75">
        <v>0</v>
      </c>
      <c r="L159" s="80">
        <v>0.011</v>
      </c>
      <c r="M159" s="76">
        <v>0</v>
      </c>
      <c r="N159" s="76">
        <f>IF(B6="M",VLOOKUP(G132,I159:J165,1))</f>
        <v>564</v>
      </c>
      <c r="O159" s="80">
        <f>VLOOKUP(N159,I159:M165,4)</f>
        <v>0.022</v>
      </c>
      <c r="P159" s="75">
        <f>VLOOKUP(N159,I159:K165,3)</f>
        <v>6.2</v>
      </c>
    </row>
    <row r="160" spans="3:16" s="53" customFormat="1" ht="15">
      <c r="C160" s="52"/>
      <c r="F160" s="76"/>
      <c r="G160" s="76"/>
      <c r="H160" s="76"/>
      <c r="I160" s="76">
        <v>564</v>
      </c>
      <c r="J160" s="75">
        <v>1336</v>
      </c>
      <c r="K160" s="75">
        <v>6.2</v>
      </c>
      <c r="L160" s="80">
        <v>0.022</v>
      </c>
      <c r="M160" s="76">
        <v>564</v>
      </c>
      <c r="N160" s="76"/>
      <c r="O160" s="76"/>
      <c r="P160" s="75"/>
    </row>
    <row r="161" spans="3:16" s="53" customFormat="1" ht="15">
      <c r="C161" s="52"/>
      <c r="F161" s="76"/>
      <c r="G161" s="76"/>
      <c r="H161" s="76"/>
      <c r="I161" s="76">
        <v>1336</v>
      </c>
      <c r="J161" s="75">
        <v>2104</v>
      </c>
      <c r="K161" s="75">
        <v>23.18</v>
      </c>
      <c r="L161" s="80">
        <v>0.044</v>
      </c>
      <c r="M161" s="76">
        <v>1336</v>
      </c>
      <c r="N161" s="76"/>
      <c r="O161" s="76"/>
      <c r="P161" s="75"/>
    </row>
    <row r="162" spans="3:16" s="53" customFormat="1" ht="15">
      <c r="C162" s="52"/>
      <c r="F162" s="76"/>
      <c r="G162" s="76"/>
      <c r="H162" s="76"/>
      <c r="I162" s="76">
        <v>2104</v>
      </c>
      <c r="J162" s="75">
        <v>2924</v>
      </c>
      <c r="K162" s="75">
        <v>56.97</v>
      </c>
      <c r="L162" s="80">
        <v>0.066</v>
      </c>
      <c r="M162" s="76">
        <v>2104</v>
      </c>
      <c r="N162" s="76"/>
      <c r="O162" s="76"/>
      <c r="P162" s="75"/>
    </row>
    <row r="163" spans="3:16" s="53" customFormat="1" ht="15">
      <c r="C163" s="52"/>
      <c r="F163" s="76"/>
      <c r="G163" s="76"/>
      <c r="H163" s="76"/>
      <c r="I163" s="76">
        <v>2924</v>
      </c>
      <c r="J163" s="75">
        <v>3696</v>
      </c>
      <c r="K163" s="75">
        <v>111.09</v>
      </c>
      <c r="L163" s="80">
        <v>0.088</v>
      </c>
      <c r="M163" s="76">
        <v>2924</v>
      </c>
      <c r="N163" s="76"/>
      <c r="O163" s="76"/>
      <c r="P163" s="75"/>
    </row>
    <row r="164" spans="3:16" s="53" customFormat="1" ht="15">
      <c r="C164" s="52"/>
      <c r="F164" s="76"/>
      <c r="G164" s="76"/>
      <c r="H164" s="76"/>
      <c r="I164" s="76">
        <v>3696</v>
      </c>
      <c r="J164" s="75">
        <v>38462</v>
      </c>
      <c r="K164" s="75">
        <v>179.03</v>
      </c>
      <c r="L164" s="80">
        <v>0.1023</v>
      </c>
      <c r="M164" s="76">
        <v>3696</v>
      </c>
      <c r="N164" s="76"/>
      <c r="O164" s="76"/>
      <c r="P164" s="75"/>
    </row>
    <row r="165" spans="3:16" s="53" customFormat="1" ht="15">
      <c r="C165" s="52"/>
      <c r="F165" s="76"/>
      <c r="G165" s="76"/>
      <c r="H165" s="76"/>
      <c r="I165" s="76">
        <v>38462</v>
      </c>
      <c r="J165" s="75">
        <v>38463</v>
      </c>
      <c r="K165" s="75">
        <v>3735.59</v>
      </c>
      <c r="L165" s="80">
        <v>0.1133</v>
      </c>
      <c r="M165" s="76">
        <v>38462</v>
      </c>
      <c r="N165" s="76"/>
      <c r="O165" s="76"/>
      <c r="P165" s="75"/>
    </row>
    <row r="166" spans="3:16" s="53" customFormat="1" ht="15">
      <c r="C166" s="52"/>
      <c r="F166" s="76"/>
      <c r="G166" s="76"/>
      <c r="H166" s="76"/>
      <c r="I166" s="76"/>
      <c r="J166" s="75"/>
      <c r="K166" s="75"/>
      <c r="L166" s="76"/>
      <c r="M166" s="76"/>
      <c r="N166" s="76"/>
      <c r="O166" s="76"/>
      <c r="P166" s="75"/>
    </row>
    <row r="167" spans="3:16" s="53" customFormat="1" ht="15">
      <c r="C167" s="52"/>
      <c r="F167" s="76"/>
      <c r="G167" s="76"/>
      <c r="H167" s="76" t="s">
        <v>133</v>
      </c>
      <c r="I167" s="76"/>
      <c r="J167" s="75"/>
      <c r="K167" s="75"/>
      <c r="L167" s="76"/>
      <c r="M167" s="76"/>
      <c r="N167" s="76"/>
      <c r="O167" s="76"/>
      <c r="P167" s="75"/>
    </row>
    <row r="168" spans="3:16" s="53" customFormat="1" ht="15">
      <c r="C168" s="52"/>
      <c r="F168" s="76"/>
      <c r="G168" s="76"/>
      <c r="H168" s="76"/>
      <c r="I168" s="76">
        <v>0</v>
      </c>
      <c r="J168" s="75">
        <v>564</v>
      </c>
      <c r="K168" s="75">
        <v>0</v>
      </c>
      <c r="L168" s="80">
        <v>0.011</v>
      </c>
      <c r="M168" s="76">
        <v>0</v>
      </c>
      <c r="N168" s="76" t="b">
        <f>IF(B6="H",VLOOKUP(G132,I168:J174,1))</f>
        <v>0</v>
      </c>
      <c r="O168" s="80" t="e">
        <f>VLOOKUP(N168,I168:M174,4)</f>
        <v>#N/A</v>
      </c>
      <c r="P168" s="75" t="e">
        <f>VLOOKUP(N168,I168:K174,3)</f>
        <v>#N/A</v>
      </c>
    </row>
    <row r="169" spans="3:16" s="53" customFormat="1" ht="15">
      <c r="C169" s="52"/>
      <c r="F169" s="76"/>
      <c r="G169" s="76"/>
      <c r="H169" s="76"/>
      <c r="I169" s="76">
        <v>564</v>
      </c>
      <c r="J169" s="75">
        <v>1334</v>
      </c>
      <c r="K169" s="75">
        <v>6.2</v>
      </c>
      <c r="L169" s="80">
        <v>0.022</v>
      </c>
      <c r="M169" s="76">
        <v>564</v>
      </c>
      <c r="N169" s="76"/>
      <c r="O169" s="76"/>
      <c r="P169" s="75"/>
    </row>
    <row r="170" spans="3:16" s="53" customFormat="1" ht="15">
      <c r="C170" s="52"/>
      <c r="F170" s="76"/>
      <c r="G170" s="76"/>
      <c r="H170" s="76"/>
      <c r="I170" s="76">
        <v>1334</v>
      </c>
      <c r="J170" s="75">
        <v>1720</v>
      </c>
      <c r="K170" s="75">
        <v>23.14</v>
      </c>
      <c r="L170" s="80">
        <v>0.044</v>
      </c>
      <c r="M170" s="76">
        <v>1334</v>
      </c>
      <c r="N170" s="76"/>
      <c r="O170" s="76"/>
      <c r="P170" s="75"/>
    </row>
    <row r="171" spans="3:16" s="53" customFormat="1" ht="15">
      <c r="C171" s="52"/>
      <c r="F171" s="76"/>
      <c r="G171" s="76"/>
      <c r="H171" s="76"/>
      <c r="I171" s="76">
        <v>1720</v>
      </c>
      <c r="J171" s="75">
        <v>2128</v>
      </c>
      <c r="K171" s="75">
        <v>40.12</v>
      </c>
      <c r="L171" s="80">
        <v>0.066</v>
      </c>
      <c r="M171" s="76">
        <v>1720</v>
      </c>
      <c r="N171" s="76"/>
      <c r="O171" s="76"/>
      <c r="P171" s="75"/>
    </row>
    <row r="172" spans="3:16" s="53" customFormat="1" ht="15">
      <c r="C172" s="52"/>
      <c r="F172" s="76"/>
      <c r="G172" s="76"/>
      <c r="H172" s="76"/>
      <c r="I172" s="76">
        <v>2128</v>
      </c>
      <c r="J172" s="75">
        <v>2514</v>
      </c>
      <c r="K172" s="75">
        <v>67.05</v>
      </c>
      <c r="L172" s="80">
        <v>0.088</v>
      </c>
      <c r="M172" s="76">
        <v>2128</v>
      </c>
      <c r="N172" s="76"/>
      <c r="O172" s="76"/>
      <c r="P172" s="75"/>
    </row>
    <row r="173" spans="3:16" s="53" customFormat="1" ht="15">
      <c r="C173" s="52"/>
      <c r="F173" s="76"/>
      <c r="G173" s="76"/>
      <c r="H173" s="76"/>
      <c r="I173" s="76">
        <v>2514</v>
      </c>
      <c r="J173" s="75">
        <v>38462</v>
      </c>
      <c r="K173" s="75">
        <v>101.02</v>
      </c>
      <c r="L173" s="80">
        <v>0.1023</v>
      </c>
      <c r="M173" s="76">
        <v>2514</v>
      </c>
      <c r="N173" s="76"/>
      <c r="O173" s="76"/>
      <c r="P173" s="75"/>
    </row>
    <row r="174" spans="3:16" s="53" customFormat="1" ht="15">
      <c r="C174" s="52"/>
      <c r="F174" s="76"/>
      <c r="G174" s="76"/>
      <c r="H174" s="76"/>
      <c r="I174" s="76">
        <v>38462</v>
      </c>
      <c r="J174" s="75">
        <v>38463</v>
      </c>
      <c r="K174" s="75">
        <v>3778.5</v>
      </c>
      <c r="L174" s="80">
        <v>0.1133</v>
      </c>
      <c r="M174" s="76">
        <v>38462</v>
      </c>
      <c r="N174" s="76"/>
      <c r="O174" s="76"/>
      <c r="P174" s="75"/>
    </row>
    <row r="175" spans="3:16" s="53" customFormat="1" ht="15">
      <c r="C175" s="52"/>
      <c r="F175" s="76"/>
      <c r="G175" s="76"/>
      <c r="H175" s="76"/>
      <c r="I175" s="76"/>
      <c r="J175" s="75"/>
      <c r="K175" s="75"/>
      <c r="L175" s="76"/>
      <c r="M175" s="76"/>
      <c r="N175" s="76"/>
      <c r="O175" s="76"/>
      <c r="P175" s="75"/>
    </row>
    <row r="176" spans="3:10" s="53" customFormat="1" ht="15">
      <c r="C176" s="52"/>
      <c r="J176" s="49"/>
    </row>
    <row r="177" spans="3:10" s="53" customFormat="1" ht="15">
      <c r="C177" s="52"/>
      <c r="J177" s="49"/>
    </row>
    <row r="178" spans="3:10" s="53" customFormat="1" ht="15">
      <c r="C178" s="52"/>
      <c r="J178" s="49"/>
    </row>
    <row r="179" spans="3:10" s="53" customFormat="1" ht="15">
      <c r="C179" s="52"/>
      <c r="J179" s="49"/>
    </row>
    <row r="180" spans="1:8" ht="15">
      <c r="A180" s="45" t="s">
        <v>23</v>
      </c>
      <c r="B180" s="112">
        <v>3465</v>
      </c>
      <c r="C180" s="124">
        <f>ROUND(B180/174,2)</f>
        <v>19.91</v>
      </c>
      <c r="D180" s="111">
        <f>B181*2</f>
        <v>80</v>
      </c>
      <c r="E180" s="45"/>
      <c r="F180" s="176" t="s">
        <v>31</v>
      </c>
      <c r="G180" s="176"/>
      <c r="H180" s="45"/>
    </row>
    <row r="181" spans="1:10" ht="15">
      <c r="A181" s="45" t="s">
        <v>24</v>
      </c>
      <c r="B181" s="112">
        <v>40</v>
      </c>
      <c r="C181" s="87"/>
      <c r="D181" s="46"/>
      <c r="E181" s="45"/>
      <c r="F181" s="99" t="s">
        <v>153</v>
      </c>
      <c r="G181" s="121">
        <f>D262</f>
        <v>0</v>
      </c>
      <c r="H181" s="45"/>
      <c r="I181" s="45"/>
      <c r="J181" s="86"/>
    </row>
    <row r="182" spans="1:10" ht="15">
      <c r="A182" s="45" t="s">
        <v>114</v>
      </c>
      <c r="B182" s="107" t="b">
        <f>IF(B274="Single","S",IF(B274="Married","M"))</f>
        <v>0</v>
      </c>
      <c r="C182" s="87"/>
      <c r="D182" s="46"/>
      <c r="E182" s="45"/>
      <c r="F182" s="45" t="s">
        <v>147</v>
      </c>
      <c r="G182" s="86">
        <f>Deductions_1/2</f>
        <v>18.065</v>
      </c>
      <c r="H182" s="45"/>
      <c r="I182" s="90" t="s">
        <v>145</v>
      </c>
      <c r="J182" s="91">
        <f>IF(B182=998,0,IF(B182&lt;&gt;998,J197-B209))</f>
        <v>1447.3</v>
      </c>
    </row>
    <row r="183" spans="1:10" ht="15">
      <c r="A183" s="45" t="s">
        <v>115</v>
      </c>
      <c r="B183" s="113">
        <v>2</v>
      </c>
      <c r="C183" s="92"/>
      <c r="D183" s="46"/>
      <c r="E183" s="45"/>
      <c r="F183" s="45" t="s">
        <v>19</v>
      </c>
      <c r="G183" s="86">
        <f>Deductions_2/2</f>
        <v>0</v>
      </c>
      <c r="H183" s="45"/>
      <c r="I183" s="93" t="s">
        <v>144</v>
      </c>
      <c r="J183" s="94">
        <f>IF(B183=998,0,IF(B183&lt;&gt;998,J197-B209))</f>
        <v>1447.3</v>
      </c>
    </row>
    <row r="184" spans="1:10" ht="15">
      <c r="A184" s="45" t="s">
        <v>116</v>
      </c>
      <c r="B184" s="107" t="b">
        <f>IF(B278="Single","S",IF(B278="Married","M",IF(B278="Head of Household","H")))</f>
        <v>0</v>
      </c>
      <c r="C184" s="87"/>
      <c r="D184" s="46"/>
      <c r="E184" s="45"/>
      <c r="F184" s="45" t="s">
        <v>18</v>
      </c>
      <c r="G184" s="86">
        <f>Deductions_3/2</f>
        <v>0</v>
      </c>
      <c r="H184" s="45"/>
      <c r="I184" s="95" t="s">
        <v>21</v>
      </c>
      <c r="J184" s="96">
        <f>J197-B199-B200-B201-B206-B207-B208</f>
        <v>1447.3</v>
      </c>
    </row>
    <row r="185" spans="1:10" ht="15">
      <c r="A185" s="45" t="s">
        <v>117</v>
      </c>
      <c r="B185" s="114">
        <v>2</v>
      </c>
      <c r="C185" s="87"/>
      <c r="D185" s="46"/>
      <c r="E185" s="45"/>
      <c r="F185" s="45" t="s">
        <v>17</v>
      </c>
      <c r="G185" s="86">
        <f>Deductions_4/2</f>
        <v>0</v>
      </c>
      <c r="H185" s="45"/>
      <c r="I185" s="45"/>
      <c r="J185" s="46"/>
    </row>
    <row r="186" spans="1:10" ht="15">
      <c r="A186" s="45" t="s">
        <v>118</v>
      </c>
      <c r="B186" s="114"/>
      <c r="C186" s="87"/>
      <c r="D186" s="46"/>
      <c r="E186" s="45"/>
      <c r="F186" s="45" t="s">
        <v>15</v>
      </c>
      <c r="G186" s="86">
        <f>Deductions_05/2</f>
        <v>0</v>
      </c>
      <c r="H186" s="45"/>
      <c r="I186" s="45"/>
      <c r="J186" s="46"/>
    </row>
    <row r="187" spans="1:10" ht="15">
      <c r="A187" s="45"/>
      <c r="B187" s="46"/>
      <c r="C187" s="87"/>
      <c r="D187" s="46"/>
      <c r="E187" s="45"/>
      <c r="F187" s="45" t="s">
        <v>13</v>
      </c>
      <c r="G187" s="86">
        <f>Deductions_06/2</f>
        <v>0</v>
      </c>
      <c r="H187" s="45"/>
      <c r="I187" s="97" t="s">
        <v>30</v>
      </c>
      <c r="J187" s="97"/>
    </row>
    <row r="188" spans="1:10" ht="15">
      <c r="A188" s="45" t="s">
        <v>161</v>
      </c>
      <c r="B188" s="100" t="s">
        <v>146</v>
      </c>
      <c r="C188" s="87"/>
      <c r="D188" s="46"/>
      <c r="E188" s="45"/>
      <c r="F188" s="45" t="s">
        <v>11</v>
      </c>
      <c r="G188" s="86">
        <f>Deductions_07/2</f>
        <v>0</v>
      </c>
      <c r="H188" s="45"/>
      <c r="I188" s="45" t="s">
        <v>28</v>
      </c>
      <c r="J188" s="86">
        <f>G302</f>
        <v>0</v>
      </c>
    </row>
    <row r="189" spans="1:10" ht="15">
      <c r="A189" s="45"/>
      <c r="B189" s="45"/>
      <c r="C189" s="87"/>
      <c r="D189" s="46"/>
      <c r="E189" s="45"/>
      <c r="F189" s="45" t="s">
        <v>10</v>
      </c>
      <c r="G189" s="86">
        <f>Deductions_08/2</f>
        <v>0</v>
      </c>
      <c r="H189" s="45"/>
      <c r="I189" s="45" t="s">
        <v>29</v>
      </c>
      <c r="J189" s="86">
        <f>IF(G318&gt;=0,G318,0)</f>
        <v>0</v>
      </c>
    </row>
    <row r="190" spans="1:10" ht="15">
      <c r="A190" s="98" t="s">
        <v>157</v>
      </c>
      <c r="B190" s="99"/>
      <c r="C190" s="87"/>
      <c r="D190" s="46"/>
      <c r="E190" s="45"/>
      <c r="F190" s="45" t="s">
        <v>9</v>
      </c>
      <c r="G190" s="86">
        <f>Deductions_09/2</f>
        <v>0</v>
      </c>
      <c r="H190" s="45"/>
      <c r="I190" s="45"/>
      <c r="J190" s="46"/>
    </row>
    <row r="191" spans="1:10" ht="15">
      <c r="A191" s="99" t="s">
        <v>4</v>
      </c>
      <c r="B191" s="100" t="str">
        <f>IF(J212="FICA","Y",IF(J212&lt;&gt;"FICA","N"))</f>
        <v>N</v>
      </c>
      <c r="C191" s="87"/>
      <c r="D191" s="46"/>
      <c r="E191" s="45"/>
      <c r="F191" s="45" t="s">
        <v>7</v>
      </c>
      <c r="G191" s="86">
        <f>Deductions_010/2</f>
        <v>0</v>
      </c>
      <c r="H191" s="45"/>
      <c r="I191" s="176" t="s">
        <v>154</v>
      </c>
      <c r="J191" s="176"/>
    </row>
    <row r="192" spans="1:10" ht="15">
      <c r="A192" s="99" t="s">
        <v>6</v>
      </c>
      <c r="B192" s="100" t="b">
        <f>IF(J212="FICA","Y",IF(J212="Medicare","Y",IF(J212="Neither","N")))</f>
        <v>0</v>
      </c>
      <c r="C192" s="87"/>
      <c r="D192" s="46"/>
      <c r="E192" s="45"/>
      <c r="F192" s="122" t="s">
        <v>1</v>
      </c>
      <c r="G192" s="123">
        <f>SUM(G181:G191)</f>
        <v>18.065</v>
      </c>
      <c r="H192" s="45"/>
      <c r="I192" s="45" t="s">
        <v>6</v>
      </c>
      <c r="J192" s="86" t="b">
        <f>IF(B192="Y",J184*1.45%,IF(B192="N",0))</f>
        <v>0</v>
      </c>
    </row>
    <row r="193" spans="1:10" ht="15">
      <c r="A193" s="99" t="s">
        <v>146</v>
      </c>
      <c r="B193" s="101" t="b">
        <f>IF(J212="Neither","Y",IF(J212="FICA","N",IF(J212="Medicare","N")))</f>
        <v>0</v>
      </c>
      <c r="C193" s="87"/>
      <c r="D193" s="46"/>
      <c r="E193" s="45"/>
      <c r="H193" s="45"/>
      <c r="I193" s="45" t="s">
        <v>4</v>
      </c>
      <c r="J193" s="86">
        <f>IF(B191="Y",J184*4.2%,IF(B191="N",0))</f>
        <v>0</v>
      </c>
    </row>
    <row r="194" spans="1:10" ht="15">
      <c r="A194" s="99"/>
      <c r="B194" s="104"/>
      <c r="C194" s="87"/>
      <c r="D194" s="46"/>
      <c r="E194" s="45"/>
      <c r="F194" s="45"/>
      <c r="G194" s="45"/>
      <c r="H194" s="45"/>
      <c r="I194" s="102" t="s">
        <v>2</v>
      </c>
      <c r="J194" s="103">
        <f>SUM(J191:J193)</f>
        <v>0</v>
      </c>
    </row>
    <row r="195" spans="1:10" ht="15">
      <c r="A195" s="176" t="s">
        <v>27</v>
      </c>
      <c r="B195" s="176"/>
      <c r="C195" s="87"/>
      <c r="D195" s="46"/>
      <c r="E195" s="45"/>
      <c r="F195" s="45"/>
      <c r="G195" s="45"/>
      <c r="H195" s="45"/>
      <c r="I195" s="45"/>
      <c r="J195" s="45"/>
    </row>
    <row r="196" spans="1:10" ht="15.75" thickBot="1">
      <c r="A196" s="45"/>
      <c r="B196" s="45"/>
      <c r="C196" s="87"/>
      <c r="D196" s="46"/>
      <c r="E196" s="45"/>
      <c r="H196" s="45"/>
      <c r="I196" s="45"/>
      <c r="J196" s="46"/>
    </row>
    <row r="197" spans="1:10" ht="15.75">
      <c r="A197" s="45" t="s">
        <v>20</v>
      </c>
      <c r="B197" s="86">
        <f>IF(AND(Retirement_2="UCRP",J211="UCRP2"),J217,IF(Retirement_2="UCRP",J216,IF(Retirement_2="DCP CAS",0)))</f>
        <v>0</v>
      </c>
      <c r="C197" s="87"/>
      <c r="D197" s="46"/>
      <c r="E197" s="45"/>
      <c r="F197" s="45"/>
      <c r="G197" s="46"/>
      <c r="H197" s="45"/>
      <c r="I197" s="115" t="s">
        <v>25</v>
      </c>
      <c r="J197" s="127">
        <f>ROUND(C180*D180,2)</f>
        <v>1592.8</v>
      </c>
    </row>
    <row r="198" spans="1:10" ht="15.75">
      <c r="A198" s="45" t="s">
        <v>160</v>
      </c>
      <c r="B198" s="86" t="b">
        <f>IF(J213="DCP CAS",F233,IF(J213="UCRP",0,IF(J213="None",0)))</f>
        <v>0</v>
      </c>
      <c r="C198" s="87"/>
      <c r="D198" s="46"/>
      <c r="E198" s="45"/>
      <c r="F198" s="45"/>
      <c r="G198" s="46"/>
      <c r="H198" s="45"/>
      <c r="I198" s="125" t="s">
        <v>162</v>
      </c>
      <c r="J198" s="128"/>
    </row>
    <row r="199" spans="1:10" ht="15.75">
      <c r="A199" t="s">
        <v>16</v>
      </c>
      <c r="B199" s="49">
        <f>Medical_Premium/2</f>
        <v>61.5</v>
      </c>
      <c r="C199" s="87"/>
      <c r="D199" s="46"/>
      <c r="E199" s="45"/>
      <c r="F199" s="45"/>
      <c r="G199" s="46"/>
      <c r="H199" s="45"/>
      <c r="I199" s="117" t="s">
        <v>4</v>
      </c>
      <c r="J199" s="128">
        <f>J193</f>
        <v>0</v>
      </c>
    </row>
    <row r="200" spans="1:10" ht="15.75">
      <c r="A200" s="45" t="s">
        <v>166</v>
      </c>
      <c r="B200" s="49">
        <f>Health_FSA/2</f>
        <v>50</v>
      </c>
      <c r="C200" s="87"/>
      <c r="D200" s="46"/>
      <c r="E200" s="45"/>
      <c r="F200" s="45"/>
      <c r="G200" s="46"/>
      <c r="H200" s="45"/>
      <c r="I200" s="116" t="s">
        <v>6</v>
      </c>
      <c r="J200" s="128" t="b">
        <f>J192</f>
        <v>0</v>
      </c>
    </row>
    <row r="201" spans="1:10" ht="16.5" thickBot="1">
      <c r="A201" s="45" t="s">
        <v>12</v>
      </c>
      <c r="B201" s="49">
        <f>DepCare_FSA/2</f>
        <v>0</v>
      </c>
      <c r="C201" s="87"/>
      <c r="D201" s="46"/>
      <c r="E201" s="45"/>
      <c r="F201" s="45"/>
      <c r="G201" s="45"/>
      <c r="H201" s="45"/>
      <c r="I201" s="116" t="s">
        <v>167</v>
      </c>
      <c r="J201" s="128">
        <f>B209+G192+J188+J189+J196</f>
        <v>163.565</v>
      </c>
    </row>
    <row r="202" spans="1:10" ht="16.5" thickBot="1">
      <c r="A202" s="45" t="s">
        <v>33</v>
      </c>
      <c r="B202" s="49">
        <f>_403B_Flat/2</f>
        <v>0</v>
      </c>
      <c r="C202" s="87"/>
      <c r="D202" s="46"/>
      <c r="E202" s="45"/>
      <c r="F202" s="45"/>
      <c r="G202" s="45"/>
      <c r="H202" s="45"/>
      <c r="I202" s="118" t="s">
        <v>163</v>
      </c>
      <c r="J202" s="129">
        <f>ROUND(J197-J199-J200-J201,2)</f>
        <v>1429.24</v>
      </c>
    </row>
    <row r="203" spans="1:10" ht="15">
      <c r="A203" s="45" t="s">
        <v>34</v>
      </c>
      <c r="B203" s="49">
        <f>_403B_Percent/2</f>
        <v>0</v>
      </c>
      <c r="C203" s="87"/>
      <c r="D203" s="46"/>
      <c r="E203" s="45"/>
      <c r="F203" s="45"/>
      <c r="G203" s="45"/>
      <c r="H203" s="45"/>
      <c r="I203" s="45"/>
      <c r="J203" s="46"/>
    </row>
    <row r="204" spans="1:10" ht="15">
      <c r="A204" s="45" t="s">
        <v>35</v>
      </c>
      <c r="B204" s="49">
        <f>_457B_Flat/2</f>
        <v>0</v>
      </c>
      <c r="C204" s="87"/>
      <c r="D204" s="46"/>
      <c r="E204" s="45"/>
      <c r="F204" s="45"/>
      <c r="G204" s="45"/>
      <c r="H204" s="45"/>
      <c r="I204" s="45"/>
      <c r="J204" s="46"/>
    </row>
    <row r="205" spans="1:10" ht="15">
      <c r="A205" s="45" t="s">
        <v>36</v>
      </c>
      <c r="B205" s="49">
        <f>_457B_Percent/2</f>
        <v>0</v>
      </c>
      <c r="C205" s="87"/>
      <c r="D205" s="46"/>
      <c r="E205" s="45"/>
      <c r="F205" s="45"/>
      <c r="G205" s="45"/>
      <c r="H205" s="45"/>
      <c r="I205" s="45"/>
      <c r="J205" s="46"/>
    </row>
    <row r="206" spans="1:10" ht="15">
      <c r="A206" s="45" t="s">
        <v>8</v>
      </c>
      <c r="B206" s="49">
        <f>Parking_Pretaxed/2</f>
        <v>0</v>
      </c>
      <c r="C206" s="87"/>
      <c r="D206" s="46"/>
      <c r="E206" s="45"/>
      <c r="F206" s="45"/>
      <c r="G206" s="45"/>
      <c r="H206" s="45"/>
      <c r="I206" s="45"/>
      <c r="J206" s="45"/>
    </row>
    <row r="207" spans="1:10" ht="15">
      <c r="A207" s="45" t="s">
        <v>5</v>
      </c>
      <c r="B207" s="49">
        <f>Vanpool_Pretaxed/2</f>
        <v>34</v>
      </c>
      <c r="C207" s="87"/>
      <c r="D207" s="46"/>
      <c r="E207" s="45"/>
      <c r="F207" s="45"/>
      <c r="G207" s="45"/>
      <c r="H207" s="45"/>
      <c r="I207" s="45"/>
      <c r="J207" s="46"/>
    </row>
    <row r="208" spans="1:10" ht="15">
      <c r="A208" s="45" t="s">
        <v>148</v>
      </c>
      <c r="B208" s="49">
        <f>Transit_Pretaxed/2</f>
        <v>0</v>
      </c>
      <c r="C208" s="87"/>
      <c r="D208" s="46"/>
      <c r="E208" s="45"/>
      <c r="F208" s="45"/>
      <c r="G208" s="45"/>
      <c r="H208" s="45"/>
      <c r="I208" s="45"/>
      <c r="J208" s="45"/>
    </row>
    <row r="209" spans="1:10" ht="15">
      <c r="A209" s="105" t="s">
        <v>3</v>
      </c>
      <c r="B209" s="126">
        <f>SUM(B197:B208)</f>
        <v>145.5</v>
      </c>
      <c r="C209" s="106"/>
      <c r="D209" s="46"/>
      <c r="E209" s="45"/>
      <c r="F209" s="45"/>
      <c r="G209" s="45"/>
      <c r="H209" s="45"/>
      <c r="I209" s="45"/>
      <c r="J209" s="45"/>
    </row>
  </sheetData>
  <sheetProtection/>
  <mergeCells count="11">
    <mergeCell ref="I191:J191"/>
    <mergeCell ref="M127:N127"/>
    <mergeCell ref="I134:J134"/>
    <mergeCell ref="A195:B195"/>
    <mergeCell ref="I149:J149"/>
    <mergeCell ref="F2:G2"/>
    <mergeCell ref="I13:J13"/>
    <mergeCell ref="A17:B17"/>
    <mergeCell ref="I127:J127"/>
    <mergeCell ref="M135:N135"/>
    <mergeCell ref="F180:G180"/>
  </mergeCells>
  <printOptions gridLines="1"/>
  <pageMargins left="0.2" right="0.2" top="1" bottom="0.75" header="0.3" footer="0.3"/>
  <pageSetup cellComments="asDisplayed" horizontalDpi="300" verticalDpi="300" orientation="landscape" r:id="rId5"/>
  <headerFooter>
    <oddHeader>&amp;L&amp;G&amp;C&amp;"-,Bold"&amp;16MONTHLY TO BI-WEEKLY PAY CONVERSION CALCULATOR
WORKSHEET DETAILS</oddHeader>
    <oddFooter>&amp;L&amp;D  &amp;T</oddFooter>
  </headerFooter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F27" sqref="F27"/>
    </sheetView>
  </sheetViews>
  <sheetFormatPr defaultColWidth="9.140625" defaultRowHeight="15"/>
  <sheetData/>
  <sheetProtection password="EB60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2:K80"/>
  <sheetViews>
    <sheetView zoomScalePageLayoutView="0" workbookViewId="0" topLeftCell="A1">
      <selection activeCell="F71" sqref="F71"/>
    </sheetView>
  </sheetViews>
  <sheetFormatPr defaultColWidth="9.140625" defaultRowHeight="15"/>
  <cols>
    <col min="1" max="1" width="14.140625" style="0" customWidth="1"/>
    <col min="2" max="2" width="12.28125" style="0" customWidth="1"/>
    <col min="3" max="3" width="14.28125" style="0" hidden="1" customWidth="1"/>
    <col min="4" max="4" width="13.00390625" style="0" hidden="1" customWidth="1"/>
    <col min="5" max="5" width="0" style="0" hidden="1" customWidth="1"/>
    <col min="6" max="6" width="14.28125" style="0" customWidth="1"/>
    <col min="10" max="10" width="11.140625" style="0" customWidth="1"/>
  </cols>
  <sheetData>
    <row r="1" s="3" customFormat="1" ht="12.75" customHeight="1"/>
    <row r="2" spans="1:11" s="3" customFormat="1" ht="12.75" customHeight="1">
      <c r="A2" s="181" t="s">
        <v>63</v>
      </c>
      <c r="B2" s="182"/>
      <c r="C2" s="4"/>
      <c r="K2" s="5"/>
    </row>
    <row r="3" spans="1:11" s="3" customFormat="1" ht="15.75" customHeight="1" thickBot="1">
      <c r="A3" s="6" t="s">
        <v>64</v>
      </c>
      <c r="B3" s="7" t="s">
        <v>127</v>
      </c>
      <c r="C3" s="4"/>
      <c r="K3" s="5"/>
    </row>
    <row r="4" spans="1:11" s="3" customFormat="1" ht="16.5" customHeight="1" thickBot="1" thickTop="1">
      <c r="A4" s="6" t="s">
        <v>65</v>
      </c>
      <c r="B4" s="8" t="s">
        <v>66</v>
      </c>
      <c r="C4" s="4"/>
      <c r="K4" s="5"/>
    </row>
    <row r="5" spans="1:11" s="3" customFormat="1" ht="16.5" customHeight="1" thickTop="1">
      <c r="A5" s="6" t="s">
        <v>67</v>
      </c>
      <c r="B5" s="9">
        <v>1</v>
      </c>
      <c r="C5" s="10">
        <f>IF(B5&gt;=999,"DO NOT CALCULATE FWT!  EMP NOT SUBJECT TO FWT.","")</f>
      </c>
      <c r="K5" s="5"/>
    </row>
    <row r="6" spans="1:11" s="3" customFormat="1" ht="12.75" customHeight="1">
      <c r="A6" s="11"/>
      <c r="B6" s="12"/>
      <c r="C6" s="4"/>
      <c r="K6" s="5"/>
    </row>
    <row r="7" spans="1:11" s="3" customFormat="1" ht="12.75">
      <c r="A7" s="183" t="s">
        <v>68</v>
      </c>
      <c r="B7" s="184"/>
      <c r="C7" s="4"/>
      <c r="K7" s="5"/>
    </row>
    <row r="8" spans="1:11" s="3" customFormat="1" ht="15">
      <c r="A8" s="6" t="s">
        <v>69</v>
      </c>
      <c r="B8" s="13">
        <v>4183.87</v>
      </c>
      <c r="C8" s="14">
        <f>IF(B5=999,"Emp not subject to FWT.  FWT Gross is 0.00.","")</f>
      </c>
      <c r="K8" s="5"/>
    </row>
    <row r="9" spans="1:11" s="3" customFormat="1" ht="12.75">
      <c r="A9" s="6" t="s">
        <v>70</v>
      </c>
      <c r="B9" s="15">
        <f>B8-B10</f>
        <v>4183.87</v>
      </c>
      <c r="C9" s="4"/>
      <c r="K9" s="5"/>
    </row>
    <row r="10" spans="1:11" s="3" customFormat="1" ht="15" customHeight="1">
      <c r="A10" s="6" t="s">
        <v>71</v>
      </c>
      <c r="B10" s="13">
        <v>0</v>
      </c>
      <c r="C10" s="185" t="s">
        <v>72</v>
      </c>
      <c r="D10" s="185"/>
      <c r="E10" s="16"/>
      <c r="K10" s="5"/>
    </row>
    <row r="11" spans="1:11" s="3" customFormat="1" ht="12.75">
      <c r="A11" s="11"/>
      <c r="B11" s="12"/>
      <c r="C11" s="185"/>
      <c r="D11" s="185"/>
      <c r="E11" s="16"/>
      <c r="K11" s="5"/>
    </row>
    <row r="12" spans="1:11" s="3" customFormat="1" ht="12.75">
      <c r="A12" s="183" t="s">
        <v>73</v>
      </c>
      <c r="B12" s="184"/>
      <c r="C12" s="4"/>
      <c r="K12" s="5"/>
    </row>
    <row r="13" spans="1:11" s="3" customFormat="1" ht="12.75">
      <c r="A13" s="6" t="s">
        <v>74</v>
      </c>
      <c r="B13" s="17">
        <v>0</v>
      </c>
      <c r="C13" s="4"/>
      <c r="K13" s="5"/>
    </row>
    <row r="14" spans="1:11" s="3" customFormat="1" ht="12.75">
      <c r="A14" s="6" t="s">
        <v>75</v>
      </c>
      <c r="B14" s="17">
        <f>ROUND(B10*0.25,2)</f>
        <v>0</v>
      </c>
      <c r="C14" s="4"/>
      <c r="K14" s="5"/>
    </row>
    <row r="15" spans="1:11" s="3" customFormat="1" ht="27" customHeight="1">
      <c r="A15" s="18" t="s">
        <v>76</v>
      </c>
      <c r="B15" s="19">
        <f>SUM(B13:B14)</f>
        <v>0</v>
      </c>
      <c r="C15" s="4"/>
      <c r="K15" s="5"/>
    </row>
    <row r="16" spans="1:11" s="3" customFormat="1" ht="55.5" customHeight="1">
      <c r="A16" s="179" t="s">
        <v>77</v>
      </c>
      <c r="B16" s="180"/>
      <c r="C16" s="4"/>
      <c r="K16" s="5"/>
    </row>
    <row r="17" spans="1:11" s="21" customFormat="1" ht="12.75">
      <c r="A17" s="20" t="s">
        <v>78</v>
      </c>
      <c r="C17" s="22" t="s">
        <v>79</v>
      </c>
      <c r="K17" s="23"/>
    </row>
    <row r="19" spans="1:11" ht="19.5">
      <c r="A19" s="24"/>
      <c r="B19" s="24"/>
      <c r="C19" s="25" t="s">
        <v>80</v>
      </c>
      <c r="D19" s="26" t="s">
        <v>81</v>
      </c>
      <c r="E19" s="25" t="s">
        <v>82</v>
      </c>
      <c r="F19" s="26" t="s">
        <v>83</v>
      </c>
      <c r="G19" s="24"/>
      <c r="H19" s="24"/>
      <c r="I19" s="24"/>
      <c r="J19" s="26" t="s">
        <v>84</v>
      </c>
      <c r="K19" s="24"/>
    </row>
    <row r="20" spans="1:11" ht="15">
      <c r="A20" s="24"/>
      <c r="B20" s="24"/>
      <c r="C20" s="27">
        <v>146.15</v>
      </c>
      <c r="D20" s="28">
        <f>B5</f>
        <v>1</v>
      </c>
      <c r="E20" s="29">
        <f>D20*C20</f>
        <v>146.15</v>
      </c>
      <c r="F20" s="30">
        <f>B9-E20</f>
        <v>4037.72</v>
      </c>
      <c r="G20" s="31"/>
      <c r="H20" s="24"/>
      <c r="I20" s="24"/>
      <c r="J20" s="30">
        <v>0</v>
      </c>
      <c r="K20" s="24"/>
    </row>
    <row r="21" spans="1:11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5">
      <c r="A22" s="24"/>
      <c r="B22" s="41" t="s">
        <v>85</v>
      </c>
      <c r="C22" s="41"/>
      <c r="D22" s="41"/>
      <c r="E22" s="41"/>
      <c r="F22" s="41"/>
      <c r="G22" s="24"/>
      <c r="H22" s="24"/>
      <c r="I22" s="24"/>
      <c r="J22" s="24"/>
      <c r="K22" s="24"/>
    </row>
    <row r="23" spans="1:11" ht="25.5">
      <c r="A23" s="24"/>
      <c r="B23" s="32">
        <v>0</v>
      </c>
      <c r="C23" s="32">
        <v>83</v>
      </c>
      <c r="D23" s="42" t="s">
        <v>86</v>
      </c>
      <c r="E23" s="42"/>
      <c r="F23" s="42"/>
      <c r="G23" s="24"/>
      <c r="H23" s="24"/>
      <c r="I23" s="24"/>
      <c r="J23" s="24"/>
      <c r="K23" s="24"/>
    </row>
    <row r="24" spans="1:11" ht="15">
      <c r="A24" s="24"/>
      <c r="B24" s="32">
        <v>83</v>
      </c>
      <c r="C24" s="32">
        <v>417</v>
      </c>
      <c r="D24" s="33">
        <v>0</v>
      </c>
      <c r="E24" s="34">
        <v>0.1</v>
      </c>
      <c r="F24" s="35">
        <f aca="true" t="shared" si="0" ref="F24:F29">B24</f>
        <v>83</v>
      </c>
      <c r="G24" s="24">
        <v>0</v>
      </c>
      <c r="H24" s="24"/>
      <c r="I24" s="24"/>
      <c r="J24" s="24"/>
      <c r="K24" s="24"/>
    </row>
    <row r="25" spans="1:11" ht="15">
      <c r="A25" s="24"/>
      <c r="B25" s="32">
        <v>417</v>
      </c>
      <c r="C25" s="32">
        <v>1442</v>
      </c>
      <c r="D25" s="33">
        <v>33.4</v>
      </c>
      <c r="E25" s="34">
        <v>0.15</v>
      </c>
      <c r="F25" s="35">
        <f t="shared" si="0"/>
        <v>417</v>
      </c>
      <c r="G25" s="24">
        <v>0</v>
      </c>
      <c r="H25" s="24"/>
      <c r="I25" s="24"/>
      <c r="J25" s="24"/>
      <c r="K25" s="24"/>
    </row>
    <row r="26" spans="1:11" ht="15">
      <c r="A26" s="24"/>
      <c r="B26" s="32">
        <v>1442</v>
      </c>
      <c r="C26" s="32">
        <v>3377</v>
      </c>
      <c r="D26" s="33">
        <v>187.15</v>
      </c>
      <c r="E26" s="34">
        <v>0.25</v>
      </c>
      <c r="F26" s="35">
        <f t="shared" si="0"/>
        <v>1442</v>
      </c>
      <c r="G26" s="24">
        <v>0</v>
      </c>
      <c r="H26" s="24"/>
      <c r="I26" s="24"/>
      <c r="J26" s="24"/>
      <c r="K26" s="24"/>
    </row>
    <row r="27" spans="1:11" ht="15">
      <c r="A27" s="24"/>
      <c r="B27" s="32">
        <v>3377</v>
      </c>
      <c r="C27" s="32">
        <v>6954</v>
      </c>
      <c r="D27" s="33">
        <v>670.9</v>
      </c>
      <c r="E27" s="34">
        <v>0.28</v>
      </c>
      <c r="F27" s="35">
        <f t="shared" si="0"/>
        <v>3377</v>
      </c>
      <c r="G27" s="24">
        <v>0</v>
      </c>
      <c r="H27" s="24"/>
      <c r="I27" s="24"/>
      <c r="J27" s="24"/>
      <c r="K27" s="24"/>
    </row>
    <row r="28" spans="1:11" ht="15">
      <c r="A28" s="24"/>
      <c r="B28" s="32">
        <v>6954</v>
      </c>
      <c r="C28" s="32">
        <v>15019</v>
      </c>
      <c r="D28" s="33">
        <v>1672.46</v>
      </c>
      <c r="E28" s="34">
        <v>0.33</v>
      </c>
      <c r="F28" s="35">
        <f t="shared" si="0"/>
        <v>6954</v>
      </c>
      <c r="G28" s="24">
        <v>0</v>
      </c>
      <c r="H28" s="24"/>
      <c r="I28" s="24"/>
      <c r="J28" s="24"/>
      <c r="K28" s="24"/>
    </row>
    <row r="29" spans="1:11" ht="15">
      <c r="A29" s="24"/>
      <c r="B29" s="32">
        <v>15019</v>
      </c>
      <c r="C29" s="35" t="s">
        <v>87</v>
      </c>
      <c r="D29" s="33">
        <v>4333.91</v>
      </c>
      <c r="E29" s="34">
        <v>0.35</v>
      </c>
      <c r="F29" s="35">
        <f t="shared" si="0"/>
        <v>15019</v>
      </c>
      <c r="G29" s="24">
        <v>0</v>
      </c>
      <c r="H29" s="24"/>
      <c r="I29" s="24"/>
      <c r="J29" s="24"/>
      <c r="K29" s="24"/>
    </row>
    <row r="30" spans="1:11" ht="15">
      <c r="A30" s="24"/>
      <c r="B30" s="24"/>
      <c r="C30" s="24"/>
      <c r="D30" s="24"/>
      <c r="E30" s="24"/>
      <c r="F30" s="24"/>
      <c r="G30" s="24">
        <f>SUM(G24:G29)</f>
        <v>0</v>
      </c>
      <c r="H30" s="24"/>
      <c r="I30" s="24"/>
      <c r="J30" s="24"/>
      <c r="K30" s="24"/>
    </row>
    <row r="31" spans="1:11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5">
      <c r="A32" s="31"/>
      <c r="B32" s="43" t="s">
        <v>88</v>
      </c>
      <c r="C32" s="43"/>
      <c r="D32" s="43"/>
      <c r="E32" s="43"/>
      <c r="F32" s="43"/>
      <c r="G32" s="24"/>
      <c r="H32" s="24"/>
      <c r="I32" s="24"/>
      <c r="J32" s="24"/>
      <c r="K32" s="24"/>
    </row>
    <row r="33" spans="1:11" ht="25.5">
      <c r="A33" s="24"/>
      <c r="B33" s="36">
        <v>0</v>
      </c>
      <c r="C33" s="36">
        <v>312</v>
      </c>
      <c r="D33" s="44" t="s">
        <v>86</v>
      </c>
      <c r="E33" s="44"/>
      <c r="F33" s="44"/>
      <c r="G33" s="24"/>
      <c r="H33" s="24"/>
      <c r="I33" s="24"/>
      <c r="J33" s="24"/>
      <c r="K33" s="24"/>
    </row>
    <row r="34" spans="1:11" ht="15">
      <c r="A34" s="24"/>
      <c r="B34" s="36">
        <v>312</v>
      </c>
      <c r="C34" s="36">
        <v>981</v>
      </c>
      <c r="D34" s="37">
        <v>0</v>
      </c>
      <c r="E34" s="38">
        <v>0.1</v>
      </c>
      <c r="F34" s="36">
        <f aca="true" t="shared" si="1" ref="F34:F39">B34</f>
        <v>312</v>
      </c>
      <c r="G34" s="24">
        <v>0</v>
      </c>
      <c r="H34" s="24"/>
      <c r="I34" s="24"/>
      <c r="J34" s="24"/>
      <c r="K34" s="24"/>
    </row>
    <row r="35" spans="1:11" ht="15">
      <c r="A35" s="24"/>
      <c r="B35" s="36">
        <v>981</v>
      </c>
      <c r="C35" s="36">
        <v>3031</v>
      </c>
      <c r="D35" s="37">
        <v>66.9</v>
      </c>
      <c r="E35" s="38">
        <v>0.15</v>
      </c>
      <c r="F35" s="36">
        <f t="shared" si="1"/>
        <v>981</v>
      </c>
      <c r="G35" s="24">
        <v>0</v>
      </c>
      <c r="H35" s="24"/>
      <c r="I35" s="24"/>
      <c r="J35" s="24"/>
      <c r="K35" s="24"/>
    </row>
    <row r="36" spans="1:11" ht="15">
      <c r="A36" s="24"/>
      <c r="B36" s="36">
        <v>3031</v>
      </c>
      <c r="C36" s="36">
        <v>5800</v>
      </c>
      <c r="D36" s="37">
        <v>374.4</v>
      </c>
      <c r="E36" s="38">
        <v>0.25</v>
      </c>
      <c r="F36" s="36">
        <f t="shared" si="1"/>
        <v>3031</v>
      </c>
      <c r="G36" s="24">
        <v>0</v>
      </c>
      <c r="H36" s="24"/>
      <c r="I36" s="24"/>
      <c r="J36" s="24"/>
      <c r="K36" s="24"/>
    </row>
    <row r="37" spans="1:11" ht="15">
      <c r="A37" s="24"/>
      <c r="B37" s="36">
        <v>5800</v>
      </c>
      <c r="C37" s="36">
        <v>8675</v>
      </c>
      <c r="D37" s="37">
        <v>1066.65</v>
      </c>
      <c r="E37" s="38">
        <v>0.28</v>
      </c>
      <c r="F37" s="36">
        <f t="shared" si="1"/>
        <v>5800</v>
      </c>
      <c r="G37" s="24">
        <v>0</v>
      </c>
      <c r="H37" s="24"/>
      <c r="I37" s="24"/>
      <c r="J37" s="24"/>
      <c r="K37" s="24"/>
    </row>
    <row r="38" spans="1:11" ht="15">
      <c r="A38" s="24"/>
      <c r="B38" s="36">
        <v>8675</v>
      </c>
      <c r="C38" s="36">
        <v>15248</v>
      </c>
      <c r="D38" s="37">
        <v>1871.65</v>
      </c>
      <c r="E38" s="38">
        <v>0.33</v>
      </c>
      <c r="F38" s="36">
        <f t="shared" si="1"/>
        <v>8675</v>
      </c>
      <c r="G38" s="24">
        <v>0</v>
      </c>
      <c r="H38" s="24"/>
      <c r="I38" s="24"/>
      <c r="J38" s="24"/>
      <c r="K38" s="24"/>
    </row>
    <row r="39" spans="1:11" ht="15">
      <c r="A39" s="24"/>
      <c r="B39" s="36">
        <v>15248</v>
      </c>
      <c r="C39" s="39" t="s">
        <v>87</v>
      </c>
      <c r="D39" s="37">
        <v>4040.74</v>
      </c>
      <c r="E39" s="38">
        <v>0.35</v>
      </c>
      <c r="F39" s="36">
        <f t="shared" si="1"/>
        <v>15248</v>
      </c>
      <c r="G39" s="24">
        <v>0</v>
      </c>
      <c r="H39" s="24"/>
      <c r="I39" s="24"/>
      <c r="J39" s="24"/>
      <c r="K39" s="24"/>
    </row>
    <row r="40" spans="1:11" ht="15">
      <c r="A40" s="24"/>
      <c r="B40" s="40"/>
      <c r="C40" s="24"/>
      <c r="D40" s="24"/>
      <c r="E40" s="24"/>
      <c r="F40" s="24"/>
      <c r="G40" s="24">
        <f>SUM(G34:G39)</f>
        <v>0</v>
      </c>
      <c r="H40" s="24"/>
      <c r="I40" s="24"/>
      <c r="J40" s="24"/>
      <c r="K40" s="24"/>
    </row>
    <row r="41" spans="1:11" ht="15">
      <c r="A41" s="24"/>
      <c r="B41" s="40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75" ht="15">
      <c r="C75">
        <v>9</v>
      </c>
    </row>
    <row r="76" ht="15">
      <c r="C76">
        <v>9</v>
      </c>
    </row>
    <row r="77" ht="15">
      <c r="C77">
        <v>9</v>
      </c>
    </row>
    <row r="78" ht="15">
      <c r="C78">
        <v>8</v>
      </c>
    </row>
    <row r="79" ht="15">
      <c r="C79">
        <v>4.5</v>
      </c>
    </row>
    <row r="80" ht="15">
      <c r="C80">
        <f>SUM(C75:C79)</f>
        <v>39.5</v>
      </c>
    </row>
  </sheetData>
  <sheetProtection/>
  <mergeCells count="5">
    <mergeCell ref="A16:B16"/>
    <mergeCell ref="A2:B2"/>
    <mergeCell ref="A7:B7"/>
    <mergeCell ref="C10:D11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 Corporate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BFS Systems</cp:lastModifiedBy>
  <cp:lastPrinted>2012-10-11T17:04:38Z</cp:lastPrinted>
  <dcterms:created xsi:type="dcterms:W3CDTF">2012-02-13T17:56:20Z</dcterms:created>
  <dcterms:modified xsi:type="dcterms:W3CDTF">2016-10-25T18:13:33Z</dcterms:modified>
  <cp:category/>
  <cp:version/>
  <cp:contentType/>
  <cp:contentStatus/>
</cp:coreProperties>
</file>